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 yWindow="120" windowWidth="20160" windowHeight="9204" activeTab="3"/>
  </bookViews>
  <sheets>
    <sheet name="Figure 1" sheetId="19" r:id="rId1"/>
    <sheet name="Table 1" sheetId="1" r:id="rId2"/>
    <sheet name="Table 2" sheetId="2" r:id="rId3"/>
    <sheet name="Figure 3" sheetId="21" r:id="rId4"/>
    <sheet name="Table 18" sheetId="20" r:id="rId5"/>
    <sheet name="Table 3" sheetId="3" r:id="rId6"/>
    <sheet name="Table 4" sheetId="4" r:id="rId7"/>
    <sheet name="Table 4a" sheetId="23" r:id="rId8"/>
    <sheet name="Table 5" sheetId="5" r:id="rId9"/>
    <sheet name="Table 6" sheetId="6" r:id="rId10"/>
    <sheet name="Table 8" sheetId="8" r:id="rId11"/>
    <sheet name="Table 9" sheetId="9" r:id="rId12"/>
    <sheet name="Table 10" sheetId="10" r:id="rId13"/>
    <sheet name="Table 11" sheetId="11" r:id="rId14"/>
    <sheet name="Table 12" sheetId="13" r:id="rId15"/>
    <sheet name="Table 13" sheetId="14" r:id="rId16"/>
    <sheet name="Table 14" sheetId="15" r:id="rId17"/>
    <sheet name="Table 15" sheetId="16" r:id="rId18"/>
    <sheet name="Table 16" sheetId="17" r:id="rId19"/>
    <sheet name="Table 17" sheetId="18" r:id="rId20"/>
    <sheet name="Sheet1" sheetId="22" r:id="rId21"/>
  </sheets>
  <definedNames/>
  <calcPr calcId="145621"/>
</workbook>
</file>

<file path=xl/sharedStrings.xml><?xml version="1.0" encoding="utf-8"?>
<sst xmlns="http://schemas.openxmlformats.org/spreadsheetml/2006/main" count="1063" uniqueCount="701">
  <si>
    <t>Value Component</t>
  </si>
  <si>
    <t>Basis</t>
  </si>
  <si>
    <t>Legislative Guidance</t>
  </si>
  <si>
    <t>Notes</t>
  </si>
  <si>
    <t>Avoided Fuel Costs</t>
  </si>
  <si>
    <t>Avoided Plant O&amp;M Cost</t>
  </si>
  <si>
    <t>Avoided Generation Capacity Costs</t>
  </si>
  <si>
    <t>Avoided Reserve Capacity Cost</t>
  </si>
  <si>
    <t>Avoided Transmission Capacity Cost</t>
  </si>
  <si>
    <t>Avoided Ditribution Capacity Cost</t>
  </si>
  <si>
    <t>Avoided Environmental Cost</t>
  </si>
  <si>
    <t>Voltage Control</t>
  </si>
  <si>
    <t>Integration Cost</t>
  </si>
  <si>
    <t>Energy Market Costs (portion attributed to fuel</t>
  </si>
  <si>
    <t>Energy Market Costs (portion attributed to O&amp;M</t>
  </si>
  <si>
    <t>Capital cost of generation to meet peak load</t>
  </si>
  <si>
    <t>Capital cost of generation to meet planning margins and ensure reliabitiy</t>
  </si>
  <si>
    <t>Capital cost of transmission</t>
  </si>
  <si>
    <t>Capital cost of distribution</t>
  </si>
  <si>
    <t>Externality costs</t>
  </si>
  <si>
    <t>Cost to regulate distribution (future inverter designs)</t>
  </si>
  <si>
    <t>Added cost to regulate system frequency with variable solar</t>
  </si>
  <si>
    <t>Required (energy)</t>
  </si>
  <si>
    <t>Required (capacity)</t>
  </si>
  <si>
    <t>Required (transmission capacity)</t>
  </si>
  <si>
    <t>Required (delivery)</t>
  </si>
  <si>
    <t>Required (environmental)</t>
  </si>
  <si>
    <t>future (TBD)</t>
  </si>
  <si>
    <t>Includess cost of long-term price risk</t>
  </si>
  <si>
    <t>Credit for local Manufacturing/Assembly</t>
  </si>
  <si>
    <t>Market Price Reduction</t>
  </si>
  <si>
    <t>Disaster Recovery</t>
  </si>
  <si>
    <t>Local tax revenue tied to net solar jobs</t>
  </si>
  <si>
    <t>Optional (Identified in legislation)</t>
  </si>
  <si>
    <t>Cost of wholesale power reduced in response to reduction in demand</t>
  </si>
  <si>
    <t>Cost to restore local economy (requires energy storage and islanding inverters</t>
  </si>
  <si>
    <t>**VOS components not included in methodology</t>
  </si>
  <si>
    <t>** VOS components included in methodology</t>
  </si>
  <si>
    <t>Guaranteed NG Fuel Prices</t>
  </si>
  <si>
    <t>Year</t>
  </si>
  <si>
    <t>NG fuel price escalation</t>
  </si>
  <si>
    <t/>
  </si>
  <si>
    <t>$ per MMBTU</t>
  </si>
  <si>
    <t>PV Assumptions</t>
  </si>
  <si>
    <t>PV degradation rate</t>
  </si>
  <si>
    <t>PV life</t>
  </si>
  <si>
    <t>per year</t>
  </si>
  <si>
    <t>years</t>
  </si>
  <si>
    <t>Environmental Externalities</t>
  </si>
  <si>
    <t>Environmental costs</t>
  </si>
  <si>
    <t>(shown in separate table)</t>
  </si>
  <si>
    <t>Economic Assumptions</t>
  </si>
  <si>
    <t>General Escalation rate</t>
  </si>
  <si>
    <t>Treasury Yields</t>
  </si>
  <si>
    <t>1 year</t>
  </si>
  <si>
    <t>2 year</t>
  </si>
  <si>
    <t>3 year</t>
  </si>
  <si>
    <t>5 year</t>
  </si>
  <si>
    <t>7 year</t>
  </si>
  <si>
    <t>10 year</t>
  </si>
  <si>
    <t>20 year</t>
  </si>
  <si>
    <t>30 year</t>
  </si>
  <si>
    <t>Analysis Year</t>
  </si>
  <si>
    <t>CO2 Cost ($/MMBtu)</t>
  </si>
  <si>
    <t>PN19 Cost ($/MMBtu)</t>
  </si>
  <si>
    <t>CO Cost ($/MMBtu)</t>
  </si>
  <si>
    <t>NOx Cost ($/MMBtu</t>
  </si>
  <si>
    <t>Pb Cost ($/MMBtu)</t>
  </si>
  <si>
    <t>Total Cost ($/MMBtu)</t>
  </si>
  <si>
    <t>** Fixed Assumptions to be used for 2014 VOS calculations - common to all utilities.</t>
  </si>
  <si>
    <t>**Fixed environmental externality costs by year</t>
  </si>
  <si>
    <t>Input Data</t>
  </si>
  <si>
    <t>Units</t>
  </si>
  <si>
    <t>Economic Factors</t>
  </si>
  <si>
    <t>Start Year for VOS applicability</t>
  </si>
  <si>
    <t>Power Generation</t>
  </si>
  <si>
    <t>Peaking CT, simple cycle</t>
  </si>
  <si>
    <t>Discount rate (WACC)</t>
  </si>
  <si>
    <t>ELCC(no loss)</t>
  </si>
  <si>
    <t>PLR (no loss)</t>
  </si>
  <si>
    <t>Loss Savings - Energy</t>
  </si>
  <si>
    <t>Loss Savings - PLR</t>
  </si>
  <si>
    <t>Loss Savings - ELCC</t>
  </si>
  <si>
    <t>Load Match (see calculation method)</t>
  </si>
  <si>
    <t>PV Energy (see calculation method)</t>
  </si>
  <si>
    <t>First year annual energy</t>
  </si>
  <si>
    <t>Transmission (See calculation method)</t>
  </si>
  <si>
    <t>% of rating</t>
  </si>
  <si>
    <t>% of PV output</t>
  </si>
  <si>
    <t>kWh per kW-AC</t>
  </si>
  <si>
    <t>$ per kW-yr</t>
  </si>
  <si>
    <t>Installed cost</t>
  </si>
  <si>
    <t>Heat rate</t>
  </si>
  <si>
    <t>Intermediate peaking CCGT</t>
  </si>
  <si>
    <t>Other</t>
  </si>
  <si>
    <t>Fuel Price Overhead</t>
  </si>
  <si>
    <t>Generation life</t>
  </si>
  <si>
    <t>Heat rate degradation</t>
  </si>
  <si>
    <t>O&amp;M cost (first year) - Fixed</t>
  </si>
  <si>
    <t>O&amp;M cost (first year) - Variable</t>
  </si>
  <si>
    <t>Reserve planning margin</t>
  </si>
  <si>
    <t>Distribution</t>
  </si>
  <si>
    <t>Capacity-related distribution capital cost</t>
  </si>
  <si>
    <t>Distribution capital cost escalation</t>
  </si>
  <si>
    <t>Peak load</t>
  </si>
  <si>
    <t>Peak load growth rate</t>
  </si>
  <si>
    <t>$/kW</t>
  </si>
  <si>
    <t>BTU/kWh</t>
  </si>
  <si>
    <t>BTU per kWh</t>
  </si>
  <si>
    <t>$ per MMBtu</t>
  </si>
  <si>
    <t>** VOS Data Table (EXAMPLE DATA) -- required format showing example parameters used in the example calculation</t>
  </si>
  <si>
    <t xml:space="preserve">System </t>
  </si>
  <si>
    <t>Azimuth</t>
  </si>
  <si>
    <t>Tilt</t>
  </si>
  <si>
    <t>% capacity</t>
  </si>
  <si>
    <t>** (Example) Azimuth and tilt angles</t>
  </si>
  <si>
    <t>ELCC</t>
  </si>
  <si>
    <t>PLR</t>
  </si>
  <si>
    <t>Guaranteed NG Price</t>
  </si>
  <si>
    <t>($/MMBtu)</t>
  </si>
  <si>
    <t>Burnertip NG Price</t>
  </si>
  <si>
    <t>Heat Rate</t>
  </si>
  <si>
    <t>Prices</t>
  </si>
  <si>
    <t>Uitility</t>
  </si>
  <si>
    <t>VOS</t>
  </si>
  <si>
    <t>p.u. PV Production</t>
  </si>
  <si>
    <t>Costs</t>
  </si>
  <si>
    <t>Utility</t>
  </si>
  <si>
    <t xml:space="preserve">Discount Factor (risk free) </t>
  </si>
  <si>
    <t>Disc. Costs</t>
  </si>
  <si>
    <t xml:space="preserve">Utility </t>
  </si>
  <si>
    <t>($/kWh)</t>
  </si>
  <si>
    <t>(kWh)</t>
  </si>
  <si>
    <t>($)</t>
  </si>
  <si>
    <t>Analysis Period</t>
  </si>
  <si>
    <t>**Economic Value of Avoided Fuel Costs</t>
  </si>
  <si>
    <t>O&amp;M Fixed</t>
  </si>
  <si>
    <t>Utility Capacity</t>
  </si>
  <si>
    <t>PV Capacity</t>
  </si>
  <si>
    <t>p.u PV Production</t>
  </si>
  <si>
    <t>Discount Factor</t>
  </si>
  <si>
    <t>(p.u.)</t>
  </si>
  <si>
    <t>(kW)</t>
  </si>
  <si>
    <t>($/kW)</t>
  </si>
  <si>
    <t>Validation: Present Value</t>
  </si>
  <si>
    <t>(Btu/kWh)</t>
  </si>
  <si>
    <t>*** (Example) Economic value of avoided plant O&amp;M - fixed</t>
  </si>
  <si>
    <t>*** (Example) Economic value of avoided plant O&amp;M - variable</t>
  </si>
  <si>
    <t>*Avoided Fuel Cost</t>
  </si>
  <si>
    <t>** Avoided Plant O&amp;M - Fixed</t>
  </si>
  <si>
    <t>** Avoided Plant O&amp;M Variable</t>
  </si>
  <si>
    <t xml:space="preserve">Validation: Present Value </t>
  </si>
  <si>
    <t>NPV</t>
  </si>
  <si>
    <t>Capacity Cost</t>
  </si>
  <si>
    <t>($/kW-yr)</t>
  </si>
  <si>
    <t>** Avoided Generation Capacity Cost</t>
  </si>
  <si>
    <t xml:space="preserve">Guaranteed NG Price </t>
  </si>
  <si>
    <t>Gen Capacity</t>
  </si>
  <si>
    <t>Utiilty</t>
  </si>
  <si>
    <t>($/kWH)</t>
  </si>
  <si>
    <t>3.93* (1+0.047737)^Year</t>
  </si>
  <si>
    <t>***(Example) Economic value of avoided reserve capacity cost</t>
  </si>
  <si>
    <t>Trans. Capacity</t>
  </si>
  <si>
    <t>PMT</t>
  </si>
  <si>
    <t xml:space="preserve">Levelized </t>
  </si>
  <si>
    <t>Levelized Cost</t>
  </si>
  <si>
    <t>Levelized Cost of Solar</t>
  </si>
  <si>
    <t>Levelized Costs</t>
  </si>
  <si>
    <t>Levelized cost:</t>
  </si>
  <si>
    <t>**Avoided Transmission Capacity Coast</t>
  </si>
  <si>
    <t>***(Example) Economic value of avoided transmission capacity cost</t>
  </si>
  <si>
    <t>Capacity Related</t>
  </si>
  <si>
    <t>***(Example) Determination of deferrable costs</t>
  </si>
  <si>
    <t>Distribution cost</t>
  </si>
  <si>
    <t>New Dist. Capacity</t>
  </si>
  <si>
    <t>Capital Cost</t>
  </si>
  <si>
    <t>Disc. Capital Cost</t>
  </si>
  <si>
    <t>Amortized</t>
  </si>
  <si>
    <t>Def. Dist. Capacity</t>
  </si>
  <si>
    <t>Conventional Planning</t>
  </si>
  <si>
    <t>Def. Capital Cost</t>
  </si>
  <si>
    <t>Deferred Distribution Planning</t>
  </si>
  <si>
    <t>(MW)</t>
  </si>
  <si>
    <t>($M)</t>
  </si>
  <si>
    <t>$M/yr</t>
  </si>
  <si>
    <t>SUM</t>
  </si>
  <si>
    <t xml:space="preserve">Levelized Cost </t>
  </si>
  <si>
    <t>Validation Present Value</t>
  </si>
  <si>
    <t>**System-Wide Avoided Costs (FERC Accounts)</t>
  </si>
  <si>
    <t>** Avoided Disribution Capacity Costs</t>
  </si>
  <si>
    <t>*** (Example) Economic value of avoided Distribution Planning</t>
  </si>
  <si>
    <t>PM10</t>
  </si>
  <si>
    <t>CO</t>
  </si>
  <si>
    <t>NOX</t>
  </si>
  <si>
    <t>pB</t>
  </si>
  <si>
    <t>CO2</t>
  </si>
  <si>
    <t>NG Emissions lb/MMBtu</t>
  </si>
  <si>
    <t xml:space="preserve">p. 39  - CO2 and non-CO2 natural gas emissions factors (lb per MM BTU of natural gas) are
</t>
  </si>
  <si>
    <t>taken from the EPA and NaturalGas.org, both of which have nearly identical numbers for the</t>
  </si>
  <si>
    <t>emissions factors. Avoided environmental costs are based on the federal social cost of CO2 emissions</t>
  </si>
  <si>
    <t>plus the Minnesota PUC-established externality costs for non-CO2 emissions</t>
  </si>
  <si>
    <t>Table 16 Natutal Gas Emmission</t>
  </si>
  <si>
    <t>http://www.epa.gov/ttnchie1/ap42/</t>
  </si>
  <si>
    <t>May 2013.</t>
  </si>
  <si>
    <t>583 and E-999/CI-00-1636.</t>
  </si>
  <si>
    <t>http://www.naturalgas.org/environment/naturalgas.asp</t>
  </si>
  <si>
    <t xml:space="preserve"> See http://www.epa.gov/climatechange/EPAactivities/economics/scc.html, EPA technical document appendix,</t>
  </si>
  <si>
    <t>“Notice of Updated Environmental Externality Values,” issued June 5, 2013, PUC docket numbers E-999/CI-93-</t>
  </si>
  <si>
    <t xml:space="preserve">http://www.epa.gov/climatechange/ghgemissions/ind-assumptions.html </t>
  </si>
  <si>
    <t xml:space="preserve">p. 39 The externality cost of CO2 emissions shown in Table 4 are calculated as follows. The EPA Social Cost of
</t>
  </si>
  <si>
    <t>Carbon (CO2) estimated for a given year is published in 2007 dollars per metric ton. These costs are</t>
  </si>
  <si>
    <t>adjusted for inflation (converted to current dollars), converted to dollars per short ton, and then</t>
  </si>
  <si>
    <t>converted to cost per unit fuel consumption using the assumed values in Table 16.</t>
  </si>
  <si>
    <t>For example, the EPA externality cost for 2020 (3.0% discount rate, average) is $43 per metric ton of CO2</t>
  </si>
  <si>
    <t>emissions in 2007 dollars. This is converted to current dollars by multiplying by a CPI adjustment factor;</t>
  </si>
  <si>
    <t>for 2014, the CPI adjustment factor is of 1.12. The resulting CO2 costs per metric ton in current dollars</t>
  </si>
  <si>
    <t>are then converted to dollars per short ton by dividing by 1.102. Finally, the costs are escalated using the</t>
  </si>
  <si>
    <t>general escalation rate of 2.53% per year to give $50.77 per ton. Which equates to $51.22 per ton of</t>
  </si>
  <si>
    <t>CO2, divided by 2000 pounds per ton, and multiplied by 117.0 pounds of CO2 per MMBtu = $2.970 per</t>
  </si>
  <si>
    <t>MMBtu in 2020 dollars.</t>
  </si>
  <si>
    <t xml:space="preserve">pg 40 - All pollutants other than CO2 are calculated using the Minnesota externality costs using the following
</t>
  </si>
  <si>
    <t>method. Externality costs are taken as the midpoint of the low and high values for the urban scenario,</t>
  </si>
  <si>
    <t>adjusted to current dollars, and converted to a fuel-based value using Table 16.</t>
  </si>
  <si>
    <t>For example, MN’s published costs for PM10 are $6,291 per ton (low case) and $9,056 per ton (high</t>
  </si>
  <si>
    <t>case). These are averaged to be ($6291+$9056)/2 = $7674 per ton of PM10 emissions. For 2020, these</t>
  </si>
  <si>
    <t>are escalated using the general escalation rate of 2.53% per year to $8,917 per ton. Which equates to</t>
  </si>
  <si>
    <t>$8,917 per ton of PM10, divided by 2000 pounds per ton, multiplied by 0.007 pounds of PM10 per</t>
  </si>
  <si>
    <t>MMBtu = $0.031 per MMBtu. Similar calculations are done for the other pollutants.</t>
  </si>
  <si>
    <t>Env. Cost</t>
  </si>
  <si>
    <t>=</t>
  </si>
  <si>
    <t>Avoided Fuel Cost</t>
  </si>
  <si>
    <t>Avoided Plant O&amp;M - Fixed</t>
  </si>
  <si>
    <t>Avoided Plant O&amp;M - Variable</t>
  </si>
  <si>
    <t>Avoided Gen Capacity</t>
  </si>
  <si>
    <t>Avoided Dist. Capacity Cost</t>
  </si>
  <si>
    <t>Avoided Voltage Control Cost</t>
  </si>
  <si>
    <t>Solar Integration Cost</t>
  </si>
  <si>
    <t>25 Year Levelized Value</t>
  </si>
  <si>
    <t>Table</t>
  </si>
  <si>
    <t>**Avoided Reserve Capacity Coast</t>
  </si>
  <si>
    <t>Gross Value</t>
  </si>
  <si>
    <t>X</t>
  </si>
  <si>
    <t>Load Match Factor</t>
  </si>
  <si>
    <t xml:space="preserve">(1+ </t>
  </si>
  <si>
    <t>Loss Saving Factor</t>
  </si>
  <si>
    <t>)</t>
  </si>
  <si>
    <t>Distributed PV Value</t>
  </si>
  <si>
    <t>(%)</t>
  </si>
  <si>
    <t>Figure ES-a. VOS Calculation Table: economic value, load match, loss savings and distributed PV value</t>
  </si>
  <si>
    <t>GV1</t>
  </si>
  <si>
    <t>GV2</t>
  </si>
  <si>
    <t>GV3</t>
  </si>
  <si>
    <t>GV4</t>
  </si>
  <si>
    <t>GV5</t>
  </si>
  <si>
    <t>GV6</t>
  </si>
  <si>
    <t>GV 7</t>
  </si>
  <si>
    <t>GV8</t>
  </si>
  <si>
    <t>LSF-Energy</t>
  </si>
  <si>
    <t>LSF-ELCC</t>
  </si>
  <si>
    <t>LSF-PKR</t>
  </si>
  <si>
    <t>V1</t>
  </si>
  <si>
    <t>V2</t>
  </si>
  <si>
    <t>V3</t>
  </si>
  <si>
    <t>V4</t>
  </si>
  <si>
    <t>V5</t>
  </si>
  <si>
    <t>V6</t>
  </si>
  <si>
    <t>V7</t>
  </si>
  <si>
    <t>V8</t>
  </si>
  <si>
    <t>Value of Solar</t>
  </si>
  <si>
    <t>* Gross Values are Calculated in Tables 8 - 17</t>
  </si>
  <si>
    <t>Figure 1. VOS Calculation Table: economic value, load match, loss savings and distributed PV value</t>
  </si>
  <si>
    <t xml:space="preserve">General Escalation Rate is equal to: </t>
  </si>
  <si>
    <t>Table 1. VOS components included in methodology</t>
  </si>
  <si>
    <t>VOS Components not included in methodology</t>
  </si>
  <si>
    <t>[(Nov2013CPI/Nov1988CPI)^1/(2013-1988)] - 1          =</t>
  </si>
  <si>
    <t>[(224.939/120.300)^1/25] - 1  =</t>
  </si>
  <si>
    <t>Equations 1 &amp; 2 on pg 7</t>
  </si>
  <si>
    <t xml:space="preserve">pg 7 The “Guaranteed NG Fuel Price Escalation” value of 4.77%, used as described later to calculate the
</t>
  </si>
  <si>
    <t>Avoided Fuel Costs, is calculated from a best fit to the listed NYMEX futures prices.</t>
  </si>
  <si>
    <t>Table 3. Fixed Assumptions to be used for 2014 VOS Calculations - common to all utilities</t>
  </si>
  <si>
    <t>Table 4. Fixed environmental externality costs by year</t>
  </si>
  <si>
    <t>Table 5. VOS Data Table (Example Data)  - required format showing example parameters used in the example calculations</t>
  </si>
  <si>
    <t>Capacity-related transmission capital cost</t>
  </si>
  <si>
    <t>PV System Rating Conversion:  Rating (kW-AC) = [Module Quantity] * [Module PTC rating (kW)] * [Inverter Efficiency Rating] * [Loss Factor]</t>
  </si>
  <si>
    <t>into account losses internal to the PV system. A PV system rated output is calculated by multiplying the</t>
  </si>
  <si>
    <t>account for module de-rate effects. The result is then multiplied by the CEC-listed inverter efficiency</t>
  </si>
  <si>
    <t>internal PV array losses (wiring losses, module mismatch and other losses).</t>
  </si>
  <si>
    <t>If no CEC module PTC rating is available, the module PTC rating should be calculated as 0.90 times the</t>
  </si>
  <si>
    <t>module STC rating8. If no CEC inverter efficiency rating is available, an inverter efficiency of 0.95 should</t>
  </si>
  <si>
    <t>be used. If no measured or design loss factor is available, 0.85 should be used.</t>
  </si>
  <si>
    <t xml:space="preserve"> pg 14. The methodology uses a rating convention for PV capacity based on AC delivered energy (not DC), taking</t>
  </si>
  <si>
    <t>number of modules by the module PTC rating [as listed by the California Energy Commission (CEC)] to</t>
  </si>
  <si>
    <t>rating to account for inverter efficiency, and the result is multiplied by a loss factor to account for</t>
  </si>
  <si>
    <t>Hourly Fleet Production: Three methods described on pages 14-16</t>
  </si>
  <si>
    <t>PV Fleet Shape: pg 17.</t>
  </si>
  <si>
    <t>Regardless of which of the three methods is selected for obtaining the Hourly PV Fleet production, the</t>
  </si>
  <si>
    <t>next step is divide each hour’s value by the PV Fleet's aggregate AC rating to obtain the PV Fleet Shape.</t>
  </si>
  <si>
    <t>The units of the PV Fleet Shape are kWh per hour per kW-AC (or, equivalently, average kW per kW-AC).</t>
  </si>
  <si>
    <t>Marginal PV Resource</t>
  </si>
  <si>
    <t>The PV Fleet Shape is hourly production of a Marginal PV Resource having a rating of 1 kW-AC.</t>
  </si>
  <si>
    <t>Annual Avoided Energy:</t>
  </si>
  <si>
    <t>Annual Avoided Energy (kWh per kW-AC per year) is the sum of the hourly PV Fleet Shape across all</t>
  </si>
  <si>
    <t>hours of the Load Analysis Period, divided by the numbers of years in the Load Analysis Period. The</t>
  </si>
  <si>
    <t>result is the annual output of the Marginal PV Resource.</t>
  </si>
  <si>
    <t>(Sum Hourly PV Fleet Production)/(NumberOfYearsInLoadAnalysisPeriod)</t>
  </si>
  <si>
    <t>Expected Fleet, Simulated Production. If neither metered production data nor detailed PV</t>
  </si>
  <si>
    <t>system specifications are available, a diverse set of PV resources can be estimated by simulating</t>
  </si>
  <si>
    <t>groups of systems at major load centers in the utility's service territory with some assumed fleet</t>
  </si>
  <si>
    <t>configuration. To use this method, one or more of the largest load centers in the utility service</t>
  </si>
  <si>
    <t>territory may be used. If a single load center accounts for a high percentage of the utility's total</t>
  </si>
  <si>
    <t>load, a single location will suffice. If there are several large load centers in the territory, groups</t>
  </si>
  <si>
    <t>of systems can be created at each location with capacities proportional to the load in that area.</t>
  </si>
  <si>
    <t>For each location, simulate multiple systems, each rated in proportion to the expected</t>
  </si>
  <si>
    <t>capacity, with azimuth and tilt angles such as the list of systems presented in Table 6.</t>
  </si>
  <si>
    <t>For Method  3 for determining Hourly PV Fleet Production when neither metered production data nor detailed PV system specification are available.</t>
  </si>
  <si>
    <t>Defined in this way, the Annual Avoided Energy does not include the effects of loss savings. As</t>
  </si>
  <si>
    <t>described in the Loss Analysis subsection, however, it will have to be calculated for the two loss</t>
  </si>
  <si>
    <t>cases (with losses and without losses)</t>
  </si>
  <si>
    <t>Load Match Factor (p. 17 - 18)</t>
  </si>
  <si>
    <t>Capacity-related benefits are time dependent, so it is necessary to evaluate the effectiveness of PV in</t>
  </si>
  <si>
    <t>supporting loads during the critical peak hours. Two different measures of effective capacity are used:</t>
  </si>
  <si>
    <t>Near term PV penetration levels are used in the calculation of the ELCC and PLR values so that the</t>
  </si>
  <si>
    <t>capacity-related value components will reflect the near term level of PV penetration on the grid.</t>
  </si>
  <si>
    <t>However, the ELCC and PLR will be re-calculated during the annual VOS adjustment and thus reflect any</t>
  </si>
  <si>
    <t>increase in future PV Penetration Levels.</t>
  </si>
  <si>
    <t xml:space="preserve">   Effective Load Carrying Capability (ELCC)</t>
  </si>
  <si>
    <t xml:space="preserve">   Peak Load Reduction (PLR)</t>
  </si>
  <si>
    <t>The Effective Load Carrying Capability (ELCC) is the measure of the effective capacity for distributed PV</t>
  </si>
  <si>
    <t>that can be applied to the avoided generation capacity costs, the avoided reserve capacity costs, the</t>
  </si>
  <si>
    <t>avoided generation fixed O&amp;M costs, and the avoided transmission capacity costs (see Figure 1).</t>
  </si>
  <si>
    <t>the ELCC will be calculated from the PV Fleet Shape for hours ending 2pm, 3pm, and 4pm Central</t>
  </si>
  <si>
    <t>Standard Time during June, July, and August over the most recent three years. If three years of data are</t>
  </si>
  <si>
    <t>unavailable, MISO requires “a minimum of 30 consecutive days of historical data during June, July, or</t>
  </si>
  <si>
    <t>August” for the hours ending 2pm, 3pm and 4pm Central Standard Time.</t>
  </si>
  <si>
    <t>The ELCC is calculated by averaging the PV Fleet Shape over the specified hours, and then dividing by the</t>
  </si>
  <si>
    <t>rating of the Marginal PV Resource (1 kW-AC), which results in a percentage value. Additionally, the</t>
  </si>
  <si>
    <t>ELCC must be calculated for the two loss cases (with and without T&amp;D losses, as described in the Loss</t>
  </si>
  <si>
    <t>Analysis subsection).</t>
  </si>
  <si>
    <t>Using current MISO rules for non-wind variable generation (MISO BPM-011, Section 4.2.2.4, page 35):</t>
  </si>
  <si>
    <t>In the example this equation produces the 1800 kWh per kW-AC in Table 5.</t>
  </si>
  <si>
    <t>Loss Savings Factors</t>
  </si>
  <si>
    <t>The Energy Loss Savings Factor (as a percentage) is defined for use within the VOS Calculation Table:</t>
  </si>
  <si>
    <t xml:space="preserve">Loss Savings (energy)                                 = </t>
  </si>
  <si>
    <t>[Annual Avoided Energy (with losses)  ]    =</t>
  </si>
  <si>
    <t>[Annual avoided Energy (without losses)] *[1 + Loss Savings (Energy)</t>
  </si>
  <si>
    <t>[[Annual Avoided Energy (with losses)] / [Annual avoided Energy (without losses)]] - 1</t>
  </si>
  <si>
    <t>In the example this equation produces the 8% of PV Output.</t>
  </si>
  <si>
    <t>the PLR Loss Savings Factor is defined as:</t>
  </si>
  <si>
    <t xml:space="preserve">Loss Savings (PLR)                                     = </t>
  </si>
  <si>
    <t>[[PLR (with losses)] / [PLR (without losses)]] - 1</t>
  </si>
  <si>
    <t>In the example this equation produces the 5% of PV Output.</t>
  </si>
  <si>
    <t>the ELCC Loss Savings Factor is defined as:</t>
  </si>
  <si>
    <t xml:space="preserve">Loss Savings (ELCC)                                     = </t>
  </si>
  <si>
    <t>[[ELCC (with losses)] / [ELCC (without losses)]] - 1</t>
  </si>
  <si>
    <t>In the example this equation produces the 9% of PV Output.</t>
  </si>
  <si>
    <t>The 1800 kWh per kWAC figure is used in Tables 8-13, 15 and 17.</t>
  </si>
  <si>
    <t>nominal discount rate, this 3% real discount rate is converted into its equivalent 5.61% nominal discount</t>
  </si>
  <si>
    <t>The Environmental Discount Rate is based on the 3% real discount rate that has been determined to be</t>
  </si>
  <si>
    <t>an appropriate societal discount rate for future environmental benefits. As the methodology requires a</t>
  </si>
  <si>
    <t>rate as follows:</t>
  </si>
  <si>
    <t>Nominal Discount Rate = (1 + Real Discount Rate) × (1 +General Escalation Rate) − 1</t>
  </si>
  <si>
    <t>Discount Rate (WACC) determined from most recent rate case</t>
  </si>
  <si>
    <t>a Discount rate of 8% is used in the example for Tables 9-13, and 15.</t>
  </si>
  <si>
    <t>The EnvironmentalDiscountRate is used once in the calculation of the Avoided Environmental Costs in table 17.</t>
  </si>
  <si>
    <t>PV degradation is accounted for in the economic calculations by reductions of the annual PV production</t>
  </si>
  <si>
    <t>given by:</t>
  </si>
  <si>
    <t>[PV Production(i)] = [PV Production(0)] × (1 − PVDegradationRate)^(i)</t>
  </si>
  <si>
    <t>where PVDegradationRate is the annual rate of PV degradation, assumed to be 0.5% per year – the</t>
  </si>
  <si>
    <t>standard PV module warranty guarantees a maximum of 0.5% power degradation per annum.</t>
  </si>
  <si>
    <t>PV Production (0) is the Annual Avoided Energy for the Marginal PV Resource.</t>
  </si>
  <si>
    <t>in future years. As such, the PV production in kWh per kW-AC for the marginal PV resource in year (i) is</t>
  </si>
  <si>
    <t xml:space="preserve">The General Escalation rate is used in table </t>
  </si>
  <si>
    <t>per kW-yr</t>
  </si>
  <si>
    <t>$ per kW</t>
  </si>
  <si>
    <t>MW</t>
  </si>
  <si>
    <t>Similarly, a risk-free discount factor is given by:</t>
  </si>
  <si>
    <t>The RiskFreeDiscountRate is based on the yields of current Treasury securities12 of 1, 2, 3, 5, 7, 10, 20,</t>
  </si>
  <si>
    <t>and 30 year maturation dates. The RiskFreeDiscountRate is used once in the calculation of the Avoided</t>
  </si>
  <si>
    <t>Fuel Costs.</t>
  </si>
  <si>
    <t>The Risk Free Discount Rate is used once in the calculation of the Avoided Fuel Costs in Table 8.</t>
  </si>
  <si>
    <t>Solar-weighted heat rate (see calculation method)</t>
  </si>
  <si>
    <t>Avoided fuel costs are based on long-term, risk-free fuel supply contracts. This value implicitly includes</t>
  </si>
  <si>
    <t>both the avoided cost of fuel as well as the avoided cost of price volatility risk that is otherwise passed</t>
  </si>
  <si>
    <t>from the utility to customers through fuel price adjustments.</t>
  </si>
  <si>
    <t>PV displaces energy generated from the marginal unit, so it avoids the cost of fuel associated with this</t>
  </si>
  <si>
    <t>generation. Furthermore, the PV system is assumed to have a service life of 25 years, so the uncertainty</t>
  </si>
  <si>
    <t>in fuel price fluctuations is also eliminated over this period. For this reason, the avoided fuel cost must</t>
  </si>
  <si>
    <t>take into account the fuel as if it were purchased under a guaranteed, long term contract.</t>
  </si>
  <si>
    <t>The methodology provides for three options to accomplish this:</t>
  </si>
  <si>
    <t>with a fixed escalation for years beyond the 12-year trading period.</t>
  </si>
  <si>
    <t>data is based on an actual price quotation from an AA-rated NG supplier to lock in prices for the</t>
  </si>
  <si>
    <t>25-year guaranteed period.</t>
  </si>
  <si>
    <t>using the utility guaranteed price will include a mechanism for removing the usage fuel</t>
  </si>
  <si>
    <t>adjustment charges and provide fixed prices over the term.</t>
  </si>
  <si>
    <t xml:space="preserve"> This option is described in detail below, and is based on the NYMEX NG futures</t>
  </si>
  <si>
    <t xml:space="preserve"> This option is identical to the above option, except the input pricing</t>
  </si>
  <si>
    <t xml:space="preserve"> This is the 25-year fuel price that is guaranteed by the utilities. Tariffs</t>
  </si>
  <si>
    <t>Futures Market.</t>
  </si>
  <si>
    <t xml:space="preserve"> Long Term Price Quotation.</t>
  </si>
  <si>
    <t>Utility-guaranteed Price.</t>
  </si>
  <si>
    <t>For the Futures Market option, Guaranteed NG prices are calculated as follows. Prices for the first 12</t>
  </si>
  <si>
    <t>years are based on NYMEX futures, with each monthly price averaged to give a 12-month average in $</t>
  </si>
  <si>
    <t>per MMBtu. Prices for years beyond this NYMEX limit are calculated by applying the assumed annual</t>
  </si>
  <si>
    <t>NYMEX price escalation. An assumed fuel price overhead amount, escalated by year using the assumed</t>
  </si>
  <si>
    <t>NYMEX price escalation, is added to the fuel price to give the burnertip fuel price.</t>
  </si>
  <si>
    <t>The first-year solar-weighted heat rate is calculated as follows:</t>
  </si>
  <si>
    <t>where the summation is over all hours j of the load analysis period, HeatRate is the actual heat rate of</t>
  </si>
  <si>
    <t>the plant on the margin, and FleetProduction is the Fleet Production Shape time series.</t>
  </si>
  <si>
    <t>The solar-weighted heat rate for future years is calculated as:</t>
  </si>
  <si>
    <t>Solar Weighted Heat Rate (0) =</t>
  </si>
  <si>
    <t>(Σheat Rate × Fleet Production (j))/Σ Fleet Production (j)</t>
  </si>
  <si>
    <t>Solar Weighted Heat Rate (i) =</t>
  </si>
  <si>
    <t>Risk Free Discount Factor = 1/(1+ Risk Free Discount Rate</t>
  </si>
  <si>
    <t>Treasury Yields (p.21)</t>
  </si>
  <si>
    <t>Economic Assumptions (p.7)</t>
  </si>
  <si>
    <t>Table 3 and Table 4 present fixed assumptions, common to all utilities and incorporated into this</t>
  </si>
  <si>
    <t>methodology, that are to be applied to the calculation of 2014 VOS tariffs. These may be updated by</t>
  </si>
  <si>
    <t>Commerce in future years as necessary when performing the annual VOS update. Table 4 is described in</t>
  </si>
  <si>
    <t>more detail in the Avoided Environmental Cost subsection. Table terms can be found in the Glossary.</t>
  </si>
  <si>
    <t>Published values from the Bureau of Labor and Statistics for the Urban Consumer Price Index (CPI)</t>
  </si>
  <si>
    <t>(ftp://ftp.bls.gov/pub/special.requests/cpi/cpiai.txt) were used to calculate an average annual inflation</t>
  </si>
  <si>
    <t>rate of 2.53% over the last 25 years (see equations below). This was taken as the expected general</t>
  </si>
  <si>
    <t>escalation rate.</t>
  </si>
  <si>
    <t>Environmental Externalities (p. 22)</t>
  </si>
  <si>
    <t>PV Assumptions (p.22)</t>
  </si>
  <si>
    <t>NG fuel price escalation (p.23)</t>
  </si>
  <si>
    <t>Effective Load Carrying Capability (ELCC) (p.18)</t>
  </si>
  <si>
    <t>Peak Load Reduction (PLR)(p.18)</t>
  </si>
  <si>
    <t>The PLR is defined as the maximum distribution load over the Load Analysis Period (without the</t>
  </si>
  <si>
    <t>Marginal PV Resource) minus the maximum distribution load over the Load Analysis Period (with the</t>
  </si>
  <si>
    <t>Marginal PV Resource). The distribution load is the power entering the distribution system from the</t>
  </si>
  <si>
    <t>transmission system (i.e., generation load minus transmission losses). In calculating the PLR, it is not</t>
  </si>
  <si>
    <t>sufficient to limit modeling to the peak hour. All hours over the Load Analysis Period must be included in</t>
  </si>
  <si>
    <t>the calculation. This is because the reduced peak load may not occur in the same hour as the original</t>
  </si>
  <si>
    <t>peak load.</t>
  </si>
  <si>
    <t>The PLR is calculated as follows. First, determine the maximum Hourly Distribution Load (D1) over the</t>
  </si>
  <si>
    <t>Load Analysis Period. Next, create a second hourly distribution load time series by subtracting the effect</t>
  </si>
  <si>
    <t>of the Marginal PV Resource, i.e., by evaluating what the new distribution load would be each hour</t>
  </si>
  <si>
    <t>given the PV Fleet Shape. Next, determine the maximum load in the second time series (D2). Finally,</t>
  </si>
  <si>
    <t>calculate the PLR by subtracting D2 from D1.</t>
  </si>
  <si>
    <t>In other words, the PLR represents the capability of the Marginal PV Resource to reduce the peak</t>
  </si>
  <si>
    <t>distribution load over the Load Analysis Period. PLR is expressed in kW per kW-AC.</t>
  </si>
  <si>
    <t>Additionally, the PLR must be calculated for the two loss cases (with distribution losses and without</t>
  </si>
  <si>
    <t>distribution losses, as described in the Loss Analysis subsection).</t>
  </si>
  <si>
    <t>Losses to be considered are described in Table 7</t>
  </si>
  <si>
    <t>Loss Savings Analysis (p.19)</t>
  </si>
  <si>
    <t>Equation 4 (p.20)</t>
  </si>
  <si>
    <t>Equation 12 (p.22)</t>
  </si>
  <si>
    <t>Equation 9 (p.21)</t>
  </si>
  <si>
    <t>Equation 5 (equation  rearranged) (p.20)</t>
  </si>
  <si>
    <t>Equation 6 (p. 20)</t>
  </si>
  <si>
    <t>Equation 7 (p.20)</t>
  </si>
  <si>
    <t>The Loss saving factor for energy of 8% is used in Figure 3, VOS Levelized Calculation Chart (p. 42)</t>
  </si>
  <si>
    <t>The Loss saving factor for PLR of 5% is used in Figure 3, VOS Levelized Calculation Chart (p. 42)</t>
  </si>
  <si>
    <t>The Loss saving factor for ELCC of 9% is used in Figure 3, VOS Levelized Calculation Chart (p. 42)</t>
  </si>
  <si>
    <t>The ELCC and PLR values are used in the Example in Figure 3, VOS Levelized Calculation Chart (p.42)</t>
  </si>
  <si>
    <t>PV Energy (p. 14-17)</t>
  </si>
  <si>
    <t>Annual Avoided Energy (kWh)                     =</t>
  </si>
  <si>
    <t>Equation 3 (p.17)</t>
  </si>
  <si>
    <t>Transmission (p.30)</t>
  </si>
  <si>
    <t>MISO OATT Schedule 9 charge in Start Year USD, e.g., in 2014 USD if year one of the VOS tariff was</t>
  </si>
  <si>
    <t>2014. Table 13 shows the example calculation.</t>
  </si>
  <si>
    <t>Avoided transmission capacity costs are calculated based on the utility’s 5-year average</t>
  </si>
  <si>
    <t>The solar-weighted capacity cost is based on the installed capital cost of a peaking combustion turbine</t>
  </si>
  <si>
    <t>and the installed capital cost of a combined cycle gas turbine, interpolated based on heat rate:</t>
  </si>
  <si>
    <t>Cost (CCGT)</t>
  </si>
  <si>
    <t>Heat Rate (pv)</t>
  </si>
  <si>
    <t>Heat Rate (CCGT)</t>
  </si>
  <si>
    <t>Cost (CT)</t>
  </si>
  <si>
    <t>Heat Rate (CT)</t>
  </si>
  <si>
    <t>Table 5</t>
  </si>
  <si>
    <t>Cost</t>
  </si>
  <si>
    <t>Cost       =</t>
  </si>
  <si>
    <t>Cost(ccgt) + (HeatRate(pv) - HeatRate(ccgt) * [(Cost(ct) - Cost(ccgt))/(HeatRate(ct) - HeatRate(ccgt))]</t>
  </si>
  <si>
    <t xml:space="preserve">                                                            Cost       =</t>
  </si>
  <si>
    <t>Equation 14 (p. 23)</t>
  </si>
  <si>
    <t xml:space="preserve">Equation 17 (p. 17) </t>
  </si>
  <si>
    <t xml:space="preserve">Where, from Table 5 above, </t>
  </si>
  <si>
    <t>Equation 17 is used for calculating Avoided Generation Capacity Costs in Table 11.</t>
  </si>
  <si>
    <t>Power Generation (p.28)</t>
  </si>
  <si>
    <t>Solar-weighted heat rate (p.23)</t>
  </si>
  <si>
    <t>Fuel Price Overhead (p. 23)</t>
  </si>
  <si>
    <t>An assumed fuel price overhead amount, escalated by year using the assumed</t>
  </si>
  <si>
    <t xml:space="preserve">In the example and assumed fuel price overhead of $0.50 was used in Table 8, under the column titled "Fuel Price Overhead." </t>
  </si>
  <si>
    <t>Solar Weighted Heat Rate (0) × (1 + HeatRateDegradationRate)</t>
  </si>
  <si>
    <t>The 8000 BTU per kWh is used in Table 8 for the first year in column "Heat Rate" and, likewise, also in Table 17</t>
  </si>
  <si>
    <t>Equation 15 (p. 23)</t>
  </si>
  <si>
    <t>Heat Rate Degradation Rate (p. 23)</t>
  </si>
  <si>
    <t>The utility price in year i is:</t>
  </si>
  <si>
    <t>where the burnertip price is in $ per MMBtu and the heat rate is in Btu per kWh.</t>
  </si>
  <si>
    <t>Utility cost is the product of the utility price and the per unit PV production. These costs are then</t>
  </si>
  <si>
    <t>discounted using the risk free discount rate and summed for all years. A risk-free discount rate (fitted to</t>
  </si>
  <si>
    <t>the US Treasury yields shown in Table 3) has been selected to account for the fact that there is no risk in</t>
  </si>
  <si>
    <t>the avoided fuel cost.</t>
  </si>
  <si>
    <t>UtilityPrice (i) =</t>
  </si>
  <si>
    <t>(BurnertipFuelPrice(i) × SolarWeightedHeatRate)/10^6</t>
  </si>
  <si>
    <t>Equation 16 (p.23)</t>
  </si>
  <si>
    <t>Equation 16 is used for Column H above, Utility Price.  It is divided by 10^6 to convert Mmbtu to btus.</t>
  </si>
  <si>
    <t>The VOS price (shown in red in Table 8) is the levelized amount that results in the same discounted</t>
  </si>
  <si>
    <t>amount as the utility price for the Avoided Fuel Cost component.</t>
  </si>
  <si>
    <t>escalated at the O&amp;M escalation rate for future years.</t>
  </si>
  <si>
    <t>The first year fixed value is escalated at the O&amp;M escalation rate for future years.</t>
  </si>
  <si>
    <t>Economic value calculations for fixed plant O&amp;M are presented in Table 9. The first year fixed value is</t>
  </si>
  <si>
    <t>Similarly, PV capacity has an initial value of one during the first year because it is applicable to PV</t>
  </si>
  <si>
    <t>systems installed in the first year. Note that effective capacity (load matching) is handled separately, and</t>
  </si>
  <si>
    <t>this table represents the “ideal” resource, as if PV were able to receive the same capacity credit as a</t>
  </si>
  <si>
    <t>fully dispatchable technology.</t>
  </si>
  <si>
    <t>Fixed O&amp;M is avoided only when the resource requiring fixed O&amp;M is avoided. For example, if new</t>
  </si>
  <si>
    <t>generation is not needed for two years, then the associated fixed O&amp;M is also not needed for two years.</t>
  </si>
  <si>
    <t>In the example calculation, generation is assumed to be needed for all years, so the avoided cost is</t>
  </si>
  <si>
    <t>calculated for all years.</t>
  </si>
  <si>
    <t>The utility cost is the fixed O&amp;M cost times the PV capacity divided by the utility capacity. Utility prices</t>
  </si>
  <si>
    <t>are the cost divided by the PV production. Costs are discounted using the utility discount factor and are</t>
  </si>
  <si>
    <t>summed for all years.</t>
  </si>
  <si>
    <t>The VOS component value is calculated as before such that the discounted total is equal to the</t>
  </si>
  <si>
    <t>discounted utility cost.</t>
  </si>
  <si>
    <t>page 24:</t>
  </si>
  <si>
    <t>pg.22 - 24:</t>
  </si>
  <si>
    <t>Table 10. (Example) Economic value of avoided plant O&amp;M - Variable</t>
  </si>
  <si>
    <t>O&amp;M Escalation Rate</t>
  </si>
  <si>
    <t>$ per kWh</t>
  </si>
  <si>
    <t>O&amp;M cost (first year) - Fixed and Variable (p. 24 - 27)</t>
  </si>
  <si>
    <t>O&amp;M calculations are given in Tables 9 and 10</t>
  </si>
  <si>
    <t>An example calculation of avoided plant O&amp;M is displayed in Table 10. Utility prices are given in the VOS</t>
  </si>
  <si>
    <t>Data Table, escalated each year by the O&amp;M escalation rate. As before, the per unit PV production is</t>
  </si>
  <si>
    <t>shown with annual degradation taken into account. The utility cost is the product of the utility price and</t>
  </si>
  <si>
    <t>the per unit production, and these costs are discounted. The VOS price of variable O&amp;M is the levelized</t>
  </si>
  <si>
    <t>value resulting in the same total discounted cost.</t>
  </si>
  <si>
    <t>pg. 27:</t>
  </si>
  <si>
    <t>Avoided distribution capacity costs may be calculated in either of two ways:</t>
  </si>
  <si>
    <t>that is “averaged” and applicable to all solar customers. This method is described below in the</t>
  </si>
  <si>
    <t>methodology.</t>
  </si>
  <si>
    <t>etc., and lead to location-specific VOS rates. This method provides the utility with a means for</t>
  </si>
  <si>
    <t>offering a higher-value VOS rate in areas where capacity is most needed (areas of highest value).</t>
  </si>
  <si>
    <t>The details of this method are site specific and not included in the methodology, however they</t>
  </si>
  <si>
    <t>are to be implemented in accordance with the requirements set for the below.</t>
  </si>
  <si>
    <t>System-wide Avoided Costs</t>
  </si>
  <si>
    <t>System wide costs and peak growth rates are determined using actual data from each of the last 10</t>
  </si>
  <si>
    <t>years. The costs and growth rate must be taken over the same time period because the historical</t>
  </si>
  <si>
    <t>investments must be tied to the growth associated with those investments.</t>
  </si>
  <si>
    <t>All costs for each year for FERC accounts 360, 361, 362, 365, 366, and 367 should be included. These</t>
  </si>
  <si>
    <t>costs, however, should be adjusted to consider only capacity-related amounts. As such, the capacityrelated</t>
  </si>
  <si>
    <t>percentages shown in Table 14 will be utility specific.</t>
  </si>
  <si>
    <t>System-wide Avoided Costs. These are calculated using utility-wide costs and lead to a VOS rate</t>
  </si>
  <si>
    <t>Location-specific Avoided Costs. These are calculated using location-specific costs, growth rates,</t>
  </si>
  <si>
    <t>Table 14 is an illustration of how to break out “capacity-related” distribution costs. The Company would have data like this for the last 10 years and go through the data to derive a cost per unit growth.</t>
  </si>
  <si>
    <t>The result of their analysis is reported in Table 5 ($200 per kW) and this is then used in Table 15. However, the $200 is only an example. There is no numerical linkage between the costs shown in Table</t>
  </si>
  <si>
    <t xml:space="preserve"> 14 and the $200 per kW (the analysis would require additional data as described in the text, not shown).</t>
  </si>
  <si>
    <t>Note that this analysis uses past technical and cost data (adjusted to today’s dollars) and that this trend is assumed to continue over the next 25 years. So, we look back 10 years and forward 25 years.</t>
  </si>
  <si>
    <t>Table 5 values, derived from the cost analysis above, are used in Tables 15-16. We use them to estimate capacity-related distribution capital costs over the next 25 years. For example,</t>
  </si>
  <si>
    <t>peak load is 5000 MW, so the new capacity in the first year is 1% of this, or 50 MW. At $200 per kW, this is $10M. This is carried on for the remaining 25 years.</t>
  </si>
  <si>
    <t>The 10 years is looking back. We could have also used 25 years or some other period, but 10 years seems like a good sampling period.</t>
  </si>
  <si>
    <t xml:space="preserve">The growth rate of the peak load is calculated using equation 18. </t>
  </si>
  <si>
    <t xml:space="preserve">Table 5 values for  Capacity-related distribution capital cost, Distribution capital cost escalation, Peak Load, and Peak Load Growth Rate </t>
  </si>
  <si>
    <t>are used in Tables 15. They are used to estimate capacity-related distribution capital costs over the next 25 years. For example,</t>
  </si>
  <si>
    <t>Cost per unit growth ($ per kW) is calculated by taking all of the total deferrable cost for each year,</t>
  </si>
  <si>
    <t>adjusting for inflation, and dividing by the kW increase in peak annual load over the 10 years.</t>
  </si>
  <si>
    <t>Future growth in peak load is assumed to be at the same rate as the last 10 years. It is calculated using</t>
  </si>
  <si>
    <t>the ratio of peak loads of the most recent year (year 10) and the peak load from the earlier year (year 1):</t>
  </si>
  <si>
    <t>Equation 18 (p. 35)</t>
  </si>
  <si>
    <t>GrowthRate  =</t>
  </si>
  <si>
    <t>[(P(10)/P(1))^0.1)] - 1</t>
  </si>
  <si>
    <t>A sample economic value calculation is presented in Table 15. The distribution cost for the first year</t>
  </si>
  <si>
    <t>($200 per kW in the example) is taken from the analysis of historical cost and growth as described</t>
  </si>
  <si>
    <t>above. This cost is escalated each year using the rate in the VOS Data Table.</t>
  </si>
  <si>
    <t>Table 15. (EXAMPLE) Economic value of avoided distribution capacity cost, system-wide.</t>
  </si>
  <si>
    <t>Distribution (p. 35)</t>
  </si>
  <si>
    <t>For each future year, the amount of new distribution capacity is calculated based on the growth rate,</t>
  </si>
  <si>
    <t>and this is multiplied by the cost per kW to get the cost for the year. The total discounted cost is</t>
  </si>
  <si>
    <t>calculated ($149M) and amortized over the 25 years.</t>
  </si>
  <si>
    <t>PV is assumed to be installed in sufficient capacity to allow this investment stream to be deferred for</t>
  </si>
  <si>
    <t>one year. The total discounted cost of the deferred time series is calculated ($140M) and amortized.</t>
  </si>
  <si>
    <t>Utility costs are calculated using the difference between the amortized costs of the conventional plan</t>
  </si>
  <si>
    <t>and the amortized cost of the deferred plan. For example, the utility cost for 2022 is ($14M -</t>
  </si>
  <si>
    <t>$13M)/54MW x 1000 W/kW = $14 per effective kW of PV. As before, utility prices are back-calculated</t>
  </si>
  <si>
    <t>using PV production, and the VOS component rate is calculated such that the total discounted amount</t>
  </si>
  <si>
    <t>equals the discounted utility cost.</t>
  </si>
  <si>
    <t>As an alternative to system-wide costs for distribution, location-specific costs may be used. When</t>
  </si>
  <si>
    <t>calculating location-specific costs, the calculation should follow the same method of the system-wide</t>
  </si>
  <si>
    <t>avoided cost method, but use local technical and cost data. The calculation should satisfy the following</t>
  </si>
  <si>
    <t>requirements:</t>
  </si>
  <si>
    <t>the minimum area in which capacity needs cannot be met by transferring loads internally from</t>
  </si>
  <si>
    <t>one circuit to another.</t>
  </si>
  <si>
    <t>should be based on the distribution planning area.</t>
  </si>
  <si>
    <t>Production Shape may be used.</t>
  </si>
  <si>
    <t>1. The distribution cost VOS should be calculated for each distribution planning area, defined as</t>
  </si>
  <si>
    <t>2. Distribution loads (the sum of all relevant feeders), peak load growth rates and capital costs</t>
  </si>
  <si>
    <t>3. Local Fleet Production Shapes may be used, if desired. Alternatively, the system-level Fleet</t>
  </si>
  <si>
    <t>above) using budgetary engineering cost estimates. All anticipated capital investments in the</t>
  </si>
  <si>
    <t>planning area should be included. Planned capital investments should be assumed to meet</t>
  </si>
  <si>
    <t>capacity requirements for the number of years defined by the amount of new capacity added (in</t>
  </si>
  <si>
    <t>MW) divided by the local growth rate (MW per year). Beyond this time period, which is beyond</t>
  </si>
  <si>
    <t>the planning horizon, new capacity investments should be assumed each year using the systemwide</t>
  </si>
  <si>
    <t>method.</t>
  </si>
  <si>
    <t>VOS calculated using the system-wide method.</t>
  </si>
  <si>
    <t>4. Anticipated capital costs should be evaluated based on capacity related investments only (as</t>
  </si>
  <si>
    <t>5. Planning areas for which engineering cost estimates are not available may be combined, and the</t>
  </si>
  <si>
    <t>Using equation ( 17 ) with the CT/CCGT heat rates and costs from the example VOS Data Table, we</t>
  </si>
  <si>
    <t>calculated a solar-weighted capacity cost of $1,050 per kW. In the example, the amortized cost is $86</t>
  </si>
  <si>
    <t>per kW-yr.</t>
  </si>
  <si>
    <t>Table 11 illustrates how utility costs are calculated by taking into account the degrading heat rate of the</t>
  </si>
  <si>
    <t>marginal unit and PV. For example, in year 2015, the utility cost is $86 per kW-yr x 0.999 / 0.995 to give</t>
  </si>
  <si>
    <t>$85 for each unit of effective PV capacity. Utility prices are back-calculated for reference from the per</t>
  </si>
  <si>
    <t>unit PV production. Again, the VOS price is selected to give the same total discounted cost as the utility</t>
  </si>
  <si>
    <t>costs for the Generation Capacity Cost component.</t>
  </si>
  <si>
    <t>Equation 17</t>
  </si>
  <si>
    <t>Table 11. (EXAMPLE) Economic value of avoided generation capacity cost</t>
  </si>
  <si>
    <t>Table 12. (EXAMPLE) Economic Value of avoided reserve capacity cost</t>
  </si>
  <si>
    <t>An example of the calculation of avoided reserve capacity cost is shown in Table 12. This is identical to</t>
  </si>
  <si>
    <t>the generation capacity cost calculation, except utility costs are multiplied by the reserve capacity</t>
  </si>
  <si>
    <t>margin. In the example, the reserve capacity margin is 15%, so the utility cost for 2014 is calculated as</t>
  </si>
  <si>
    <t>$86 per unit effective capacity x 15% = $13. The rest of the calculation is identical to the capacity cost</t>
  </si>
  <si>
    <t>calculation.</t>
  </si>
  <si>
    <r>
      <t xml:space="preserve">margin. In the example, the </t>
    </r>
    <r>
      <rPr>
        <b/>
        <sz val="11"/>
        <color theme="1"/>
        <rFont val="Calibri"/>
        <family val="2"/>
        <scheme val="minor"/>
      </rPr>
      <t>reserve capacity margin is 15%</t>
    </r>
    <r>
      <rPr>
        <sz val="11"/>
        <color theme="1"/>
        <rFont val="Calibri"/>
        <family val="2"/>
        <scheme val="minor"/>
      </rPr>
      <t>, so the utility cost for 2014 is calculated as</t>
    </r>
  </si>
  <si>
    <t>Table 13. (EXAMPLE) Economic value of avoided transmission capacity cost</t>
  </si>
  <si>
    <t>Avoided transmission costs are calculated the same way as avoided generation costs except in two</t>
  </si>
  <si>
    <t>ways. First, transmission capacity is assumed not to degrade over time (PV degradation is still accounted</t>
  </si>
  <si>
    <t>for). Second, avoided transmission capacity costs are calculated based on the utility’s 5-year average</t>
  </si>
  <si>
    <t>The externality cost of CO2 emissions shown in Table 4 are calculated as follows. The EPA Social Cost of</t>
  </si>
  <si>
    <t>In the example shown in Table 17, the environmental cost is the sum of the costs of all pollutants. For</t>
  </si>
  <si>
    <t>example, in 2020, the total cost of $3.052 per MMBtu corresponds to the 2020 total cost in Table 4. This</t>
  </si>
  <si>
    <t>cost is multiplied by the heat rate for the year (see Avoided Fuel Cost calculation) and divided by 106 (to</t>
  </si>
  <si>
    <t>convert Btus to MMBtus), which results in the environmental cost in dollars per kWh for each year. The</t>
  </si>
  <si>
    <t>remainder of the calculation follows the same method as the avoided variable O&amp;M costs but using the</t>
  </si>
  <si>
    <t>environmental discount factor (see Discount Factors for a description of the environmental discount</t>
  </si>
  <si>
    <t>factor and its calculation).</t>
  </si>
  <si>
    <t>Table 17. (EXAMPLE) Economic value of avoided environmental cost</t>
  </si>
  <si>
    <t>The economic value, load match, distributed loss savings, and distributed PV value are combined in the</t>
  </si>
  <si>
    <t>required VOS Levelized Calculation Chart. An example is presented in Figure 3 using the assumptions</t>
  </si>
  <si>
    <t>made for the example calculation. Actual VOS results will differ from those shown in the example, but</t>
  </si>
  <si>
    <t>utilities will include in their application a VOS Levelized Calculation Chart in the same format. For</t>
  </si>
  <si>
    <t>completeness, Figure 4 (not required of the utilities) is presented showing graphically the relative</t>
  </si>
  <si>
    <t>importance of the components in the example.</t>
  </si>
  <si>
    <t>Having calculated the levelized VOS credit, an inflation-adjusted VOS can then be found. An EXAMPLE</t>
  </si>
  <si>
    <t>inflation-adjusted VOS is provided in Figure 5 by using the general escalation rate as the annual inflation</t>
  </si>
  <si>
    <t>rate for all years of the analysis period. Both the inflation-adjusted VOS and the levelized VOS in Figure</t>
  </si>
  <si>
    <t>5 represent the same long-term value. The methodology requires that the inflation-adjusted (nominal)</t>
  </si>
  <si>
    <t>VOS be used and updated annually to account for the current year’s inflation rate.</t>
  </si>
  <si>
    <t>To calculate the inflation-adjusted VOS for the first year, the products of the levelized VOS, PV</t>
  </si>
  <si>
    <t>production and the discount factor are summed for each year of the analysis period and then divided by</t>
  </si>
  <si>
    <t>the sum of the products of the escalation factor, PV production, and the discount factor for each year of</t>
  </si>
  <si>
    <t>the analysis period, as shown below in Equation ( 19 ).</t>
  </si>
  <si>
    <t>PV Production</t>
  </si>
  <si>
    <t>Escalation Factor</t>
  </si>
  <si>
    <t>Example VOS</t>
  </si>
  <si>
    <t>Disc. Cost</t>
  </si>
  <si>
    <t>(Levelized)</t>
  </si>
  <si>
    <t xml:space="preserve">($) </t>
  </si>
  <si>
    <t>(Inflation adj.)</t>
  </si>
  <si>
    <t xml:space="preserve">Equation 19 </t>
  </si>
  <si>
    <t>InflationAdjusted VOS (0)        =</t>
  </si>
  <si>
    <t>Once the first-year inflation-adjusted VOS is calculated, the value will then be updated on an annual</t>
  </si>
  <si>
    <t>basis in accordance with the observed inflation-rate. Table 18 provides the calculation of the EXAMPLE</t>
  </si>
  <si>
    <t>inflation-adjusted VOS shown in Figure 5. In this EXAMPLE, the inflation rate in future years is set equal</t>
  </si>
  <si>
    <t>to the general escalation rate of 2.53%.</t>
  </si>
  <si>
    <t xml:space="preserve"> </t>
  </si>
  <si>
    <t>pg. 42-44:</t>
  </si>
  <si>
    <t>Table 18. (Example) Calculation of inflation-adjusted VOS</t>
  </si>
  <si>
    <t>SUM of (levelizedVOS*PVProduction(i)*DiscountFactor(i)) / SUM of (Escalation Factor (i)*PV Production(i)*DiscountFactor(i)</t>
  </si>
  <si>
    <t>Denom. in Equation 19</t>
  </si>
  <si>
    <t>Table 6. (EXAMPLE) Azimuth and tilt angles.</t>
  </si>
  <si>
    <t>CPI Factor</t>
  </si>
  <si>
    <t>Short ton</t>
  </si>
  <si>
    <t>http://www.whitehouse.gov/sites/default/files/omb/assets/inforeg/technical-update-social-cost-of-carbon-for-regulator-impact-analysis.pdf</t>
  </si>
  <si>
    <t>Technical Update of the Social Cost of Carebon for Regulatory Impact Analysis - Under Executive Order 12866, Appendix A</t>
  </si>
  <si>
    <t>The Social Cost of Carbon</t>
  </si>
  <si>
    <t>EPA and other federal agencies use the social cost of carbon (SCC) to estimate the climate benefits of rulemakings.</t>
  </si>
  <si>
    <t xml:space="preserve"> The SCC is an estimate of the economic damages associated with a small increase in carbon dioxide (CO2) emissions, </t>
  </si>
  <si>
    <t xml:space="preserve">The SCC is meant to be a comprehensive estimate of climate change damages and includes, but is not limited to, </t>
  </si>
  <si>
    <t>changes in net agricultural productivity, human health, and property damages from increased flood risk. However,</t>
  </si>
  <si>
    <t xml:space="preserve"> given current modeling and data limitations, it does not include all important damages.</t>
  </si>
  <si>
    <t xml:space="preserve">As noted by the IPCC Fourth Assessment Report, it is “very likely that [SCC] underestimates” the damages. The models </t>
  </si>
  <si>
    <t>used to develop SCC estimates, known as integrated assessment models, do not currently include all of the important</t>
  </si>
  <si>
    <t xml:space="preserve"> physical, ecological, and economic impacts of climate change recognized in the climate change literature because of a </t>
  </si>
  <si>
    <t xml:space="preserve">lack of precise information on the nature of damages and because the science incorporated into these models naturally </t>
  </si>
  <si>
    <t xml:space="preserve">lags behind the most recent research. Nonetheless, the SCC is a useful measure to assess the benefits of CO2 reductions. </t>
  </si>
  <si>
    <t>http://www.epa.gov/climatechange/EPAactivities/economics/scc.html</t>
  </si>
  <si>
    <t>$ per Metric Ton (2007)</t>
  </si>
  <si>
    <t>$ per Metric Ton (Current)</t>
  </si>
  <si>
    <t>$ per Ton</t>
  </si>
  <si>
    <t>CO2 CostEPA (3.0%)</t>
  </si>
  <si>
    <t>Escalated CO2 Cost Per Ton</t>
  </si>
  <si>
    <t>CO2 Cost $/MMBtu</t>
  </si>
  <si>
    <t>$/Mmbtu</t>
  </si>
  <si>
    <t xml:space="preserve">conventionally one metric ton, in a given year. This dollar figure also represents the value of damages avoided for a </t>
  </si>
  <si>
    <t>small emission reduction (i.e. the benefit of a CO2 reduction).</t>
  </si>
  <si>
    <t>Social Cost of Carbon (EPA)</t>
  </si>
  <si>
    <t>VOS Rate</t>
  </si>
  <si>
    <t>Environmental Discount rate (real)</t>
  </si>
  <si>
    <t>Environmental Discount Rate (nominal)</t>
  </si>
  <si>
    <t>Distribution Project Costs</t>
  </si>
  <si>
    <t>Peak Load</t>
  </si>
  <si>
    <t>(% )</t>
  </si>
  <si>
    <t>(2014 $)</t>
  </si>
  <si>
    <t xml:space="preserve">Capacity Related </t>
  </si>
  <si>
    <t>(2014$)</t>
  </si>
  <si>
    <t xml:space="preserve">Load growth rate (%/yr) </t>
  </si>
  <si>
    <t>9-year Load growth ((kW)</t>
  </si>
  <si>
    <t>Capacity-related Distribution Costs ($/kW)</t>
  </si>
  <si>
    <t>Distribution Capital Cost Escalation</t>
  </si>
  <si>
    <t>AVG</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</si>
</sst>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8" formatCode="&quot;$&quot;#,##0.00_);[Red]\(&quot;$&quot;#,##0.00\)"/>
    <numFmt numFmtId="164" formatCode="&quot;$&quot;#,##0.00"/>
    <numFmt numFmtId="165" formatCode="0.000"/>
    <numFmt numFmtId="166" formatCode="&quot;$&quot;#,##0"/>
    <numFmt numFmtId="167" formatCode="0.0"/>
    <numFmt numFmtId="168" formatCode="&quot;$&quot;#,##0.000"/>
    <numFmt numFmtId="169" formatCode="&quot;$&quot;#,##0.0000"/>
    <numFmt numFmtId="170" formatCode="&quot;$&quot;#,##0.000000000_);[Red]\(&quot;$&quot;#,##0.000000000\)"/>
    <numFmt numFmtId="171" formatCode="&quot;$&quot;#,##0.000000"/>
    <numFmt numFmtId="172" formatCode="&quot;$&quot;#,##0.0000000"/>
    <numFmt numFmtId="173" formatCode="#,##0.000000"/>
    <numFmt numFmtId="174" formatCode="0.00000"/>
    <numFmt numFmtId="175" formatCode="0.000000"/>
    <numFmt numFmtId="176" formatCode="&quot;$&quot;#,##0.00000000"/>
    <numFmt numFmtId="177" formatCode="&quot;$&quot;#,##0.000000_);[Red]\(&quot;$&quot;#,##0.000000\)"/>
    <numFmt numFmtId="178" formatCode="0.0000"/>
    <numFmt numFmtId="179" formatCode="#,##0.0000"/>
    <numFmt numFmtId="180" formatCode="&quot;$&quot;#,##0.00000"/>
    <numFmt numFmtId="181" formatCode="&quot;$&quot;#,##0.0000_);[Red]\(&quot;$&quot;#,##0.0000\)"/>
    <numFmt numFmtId="182" formatCode="0.00000%"/>
    <numFmt numFmtId="183" formatCode="0.0000%"/>
    <numFmt numFmtId="184" formatCode="0.0%"/>
  </numFmts>
  <fonts count="14">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u val="single"/>
      <sz val="11"/>
      <color theme="10"/>
      <name val="Calibri"/>
      <family val="2"/>
      <scheme val="minor"/>
    </font>
    <font>
      <sz val="11"/>
      <color theme="2"/>
      <name val="Calibri"/>
      <family val="2"/>
      <scheme val="minor"/>
    </font>
    <font>
      <sz val="14"/>
      <color theme="1"/>
      <name val="Calibri"/>
      <family val="2"/>
      <scheme val="minor"/>
    </font>
    <font>
      <i/>
      <sz val="11"/>
      <color theme="1"/>
      <name val="Calibri"/>
      <family val="2"/>
      <scheme val="minor"/>
    </font>
    <font>
      <b/>
      <i/>
      <sz val="11"/>
      <color theme="1"/>
      <name val="Calibri"/>
      <family val="2"/>
      <scheme val="minor"/>
    </font>
    <font>
      <b/>
      <sz val="24"/>
      <color theme="1"/>
      <name val="Calibri"/>
      <family val="2"/>
      <scheme val="minor"/>
    </font>
    <font>
      <sz val="11"/>
      <color theme="0"/>
      <name val="Calibri"/>
      <family val="2"/>
      <scheme val="minor"/>
    </font>
  </fonts>
  <fills count="7">
    <fill>
      <patternFill/>
    </fill>
    <fill>
      <patternFill patternType="gray125"/>
    </fill>
    <fill>
      <patternFill patternType="solid">
        <fgColor theme="4"/>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6"/>
        <bgColor indexed="64"/>
      </patternFill>
    </fill>
  </fills>
  <borders count="26">
    <border>
      <left/>
      <right/>
      <top/>
      <bottom/>
      <diagonal/>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style="thin"/>
      <right/>
      <top style="thin"/>
      <bottom style="thin"/>
    </border>
    <border>
      <left style="thin"/>
      <right style="thin"/>
      <top style="thin"/>
      <bottom/>
    </border>
    <border>
      <left/>
      <right style="medium"/>
      <top style="medium"/>
      <bottom style="medium"/>
    </border>
    <border>
      <left/>
      <right/>
      <top/>
      <bottom style="thin"/>
    </border>
    <border>
      <left/>
      <right/>
      <top style="thin"/>
      <bottom/>
    </border>
    <border>
      <left style="medium"/>
      <right/>
      <top style="medium"/>
      <bottom style="thin"/>
    </border>
    <border>
      <left/>
      <right/>
      <top style="medium"/>
      <bottom/>
    </border>
    <border>
      <left/>
      <right style="medium"/>
      <top style="medium"/>
      <bottom/>
    </border>
    <border>
      <left style="medium"/>
      <right style="thin"/>
      <top/>
      <bottom style="thin"/>
    </border>
    <border>
      <left/>
      <right style="medium"/>
      <top/>
      <bottom style="thin"/>
    </border>
    <border>
      <left style="medium"/>
      <right style="thin"/>
      <top style="thin"/>
      <bottom style="thin"/>
    </border>
    <border>
      <left style="thin"/>
      <right style="medium"/>
      <top/>
      <bottom style="thin"/>
    </border>
    <border>
      <left style="medium"/>
      <right/>
      <top/>
      <bottom/>
    </border>
    <border>
      <left style="thin"/>
      <right style="medium"/>
      <top style="thin"/>
      <bottom/>
    </border>
    <border>
      <left style="medium"/>
      <right/>
      <top/>
      <bottom style="thin"/>
    </border>
    <border>
      <left/>
      <right style="medium"/>
      <top style="thin"/>
      <bottom/>
    </border>
    <border>
      <left style="thin"/>
      <right style="medium"/>
      <top style="thin"/>
      <bottom style="thin"/>
    </border>
    <border>
      <left style="medium"/>
      <right/>
      <top/>
      <bottom style="medium"/>
    </border>
    <border>
      <left/>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271">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2" borderId="0" xfId="0" applyFill="1" applyAlignment="1">
      <alignment horizontal="center"/>
    </xf>
    <xf numFmtId="0" fontId="0" fillId="2" borderId="0" xfId="0" applyFill="1" applyAlignment="1">
      <alignment horizontal="center" wrapText="1"/>
    </xf>
    <xf numFmtId="0" fontId="0" fillId="0" borderId="1" xfId="0" applyBorder="1"/>
    <xf numFmtId="0" fontId="0" fillId="0" borderId="1" xfId="0" applyBorder="1" applyAlignment="1">
      <alignment wrapText="1"/>
    </xf>
    <xf numFmtId="0" fontId="0" fillId="2" borderId="1" xfId="0" applyFill="1" applyBorder="1" applyAlignment="1">
      <alignment horizontal="center" wrapText="1"/>
    </xf>
    <xf numFmtId="0" fontId="0" fillId="0" borderId="0" xfId="0" applyFill="1" applyBorder="1" applyAlignment="1">
      <alignment wrapText="1"/>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xf>
    <xf numFmtId="0" fontId="0" fillId="0" borderId="1" xfId="0" applyBorder="1" quotePrefix="1"/>
    <xf numFmtId="10" fontId="0" fillId="2" borderId="1" xfId="0" applyNumberFormat="1" applyFill="1" applyBorder="1"/>
    <xf numFmtId="0" fontId="0" fillId="2" borderId="1" xfId="0" applyFill="1" applyBorder="1"/>
    <xf numFmtId="0" fontId="0" fillId="0" borderId="1" xfId="0" applyBorder="1" applyAlignment="1">
      <alignment horizontal="center" wrapText="1"/>
    </xf>
    <xf numFmtId="10" fontId="0" fillId="0" borderId="1" xfId="0" applyNumberFormat="1" applyBorder="1" applyAlignment="1">
      <alignment horizontal="center" wrapText="1"/>
    </xf>
    <xf numFmtId="10" fontId="0" fillId="2" borderId="1" xfId="0" applyNumberFormat="1" applyFill="1" applyBorder="1" applyAlignment="1">
      <alignment horizontal="center" wrapText="1"/>
    </xf>
    <xf numFmtId="165" fontId="0" fillId="0" borderId="1" xfId="0" applyNumberFormat="1" applyBorder="1" applyAlignment="1">
      <alignment horizontal="center"/>
    </xf>
    <xf numFmtId="0" fontId="0" fillId="2" borderId="1" xfId="0" applyFill="1" applyBorder="1" applyAlignment="1">
      <alignment wrapText="1"/>
    </xf>
    <xf numFmtId="165" fontId="0" fillId="0" borderId="1" xfId="0" applyNumberFormat="1" applyBorder="1"/>
    <xf numFmtId="0" fontId="0" fillId="0" borderId="0" xfId="0" applyFill="1"/>
    <xf numFmtId="0" fontId="0" fillId="0" borderId="1" xfId="0" applyFill="1" applyBorder="1"/>
    <xf numFmtId="1" fontId="0" fillId="2" borderId="1" xfId="0" applyNumberFormat="1" applyFill="1" applyBorder="1"/>
    <xf numFmtId="0" fontId="2" fillId="0" borderId="0" xfId="0" applyFont="1" applyBorder="1" applyAlignment="1">
      <alignment horizontal="center"/>
    </xf>
    <xf numFmtId="0" fontId="0" fillId="0" borderId="0" xfId="0" applyBorder="1" applyAlignment="1">
      <alignment horizontal="center"/>
    </xf>
    <xf numFmtId="0" fontId="0" fillId="0" borderId="1" xfId="0" applyBorder="1" applyAlignment="1">
      <alignment horizontal="left" indent="1"/>
    </xf>
    <xf numFmtId="3" fontId="0" fillId="2" borderId="1" xfId="0" applyNumberFormat="1" applyFill="1" applyBorder="1" applyAlignment="1">
      <alignment horizontal="center"/>
    </xf>
    <xf numFmtId="164" fontId="0" fillId="2" borderId="1" xfId="0" applyNumberFormat="1" applyFill="1" applyBorder="1" applyAlignment="1">
      <alignment horizontal="center"/>
    </xf>
    <xf numFmtId="10" fontId="0" fillId="2" borderId="1" xfId="0" applyNumberFormat="1" applyFill="1" applyBorder="1" applyAlignment="1">
      <alignment horizontal="center"/>
    </xf>
    <xf numFmtId="167" fontId="0" fillId="0" borderId="1" xfId="0" applyNumberFormat="1" applyBorder="1"/>
    <xf numFmtId="0" fontId="0" fillId="0" borderId="1" xfId="0" applyFill="1" applyBorder="1" applyAlignment="1">
      <alignment horizontal="center"/>
    </xf>
    <xf numFmtId="0" fontId="2" fillId="0" borderId="0" xfId="0" applyFont="1" applyAlignment="1">
      <alignment horizontal="center" wrapText="1"/>
    </xf>
    <xf numFmtId="0" fontId="0" fillId="0" borderId="2" xfId="0"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2" fillId="0" borderId="0" xfId="0" applyFont="1"/>
    <xf numFmtId="1" fontId="0" fillId="0" borderId="1" xfId="0" applyNumberFormat="1" applyBorder="1" applyAlignment="1">
      <alignment horizontal="center"/>
    </xf>
    <xf numFmtId="0" fontId="2" fillId="3" borderId="1" xfId="0" applyFont="1" applyFill="1" applyBorder="1" applyAlignment="1">
      <alignment horizontal="center" wrapText="1"/>
    </xf>
    <xf numFmtId="0" fontId="0" fillId="0" borderId="0" xfId="0" applyFill="1" applyBorder="1" applyAlignment="1">
      <alignment horizontal="center"/>
    </xf>
    <xf numFmtId="164" fontId="0" fillId="0" borderId="0" xfId="0" applyNumberFormat="1" applyBorder="1" applyAlignment="1">
      <alignment horizontal="center"/>
    </xf>
    <xf numFmtId="165" fontId="0" fillId="0" borderId="0" xfId="0" applyNumberFormat="1" applyBorder="1" applyAlignment="1">
      <alignment horizontal="center"/>
    </xf>
    <xf numFmtId="1" fontId="0" fillId="0" borderId="0" xfId="0" applyNumberFormat="1" applyBorder="1" applyAlignment="1">
      <alignment horizontal="center"/>
    </xf>
    <xf numFmtId="1" fontId="0" fillId="0" borderId="3" xfId="0" applyNumberFormat="1" applyBorder="1" applyAlignment="1">
      <alignment horizontal="center"/>
    </xf>
    <xf numFmtId="164" fontId="2" fillId="0" borderId="4" xfId="0" applyNumberFormat="1" applyFont="1" applyBorder="1" applyAlignment="1">
      <alignment horizontal="center"/>
    </xf>
    <xf numFmtId="164" fontId="0" fillId="0" borderId="4" xfId="0" applyNumberFormat="1" applyBorder="1" applyAlignment="1">
      <alignment horizontal="center"/>
    </xf>
    <xf numFmtId="8" fontId="0" fillId="0" borderId="0" xfId="0" applyNumberFormat="1"/>
    <xf numFmtId="0" fontId="2" fillId="0" borderId="3" xfId="0" applyFont="1" applyBorder="1"/>
    <xf numFmtId="0" fontId="0" fillId="0" borderId="4" xfId="0" applyBorder="1"/>
    <xf numFmtId="1" fontId="0" fillId="0" borderId="2" xfId="0" applyNumberFormat="1" applyFill="1" applyBorder="1" applyAlignment="1">
      <alignment horizontal="center"/>
    </xf>
    <xf numFmtId="165" fontId="0" fillId="0" borderId="1" xfId="0" applyNumberFormat="1" applyFill="1" applyBorder="1" applyAlignment="1">
      <alignment horizontal="center"/>
    </xf>
    <xf numFmtId="171" fontId="0" fillId="0" borderId="2" xfId="0" applyNumberFormat="1" applyFill="1" applyBorder="1" applyAlignment="1">
      <alignment horizontal="center"/>
    </xf>
    <xf numFmtId="171" fontId="0" fillId="0" borderId="1" xfId="0" applyNumberFormat="1" applyFill="1" applyBorder="1" applyAlignment="1">
      <alignment horizontal="center"/>
    </xf>
    <xf numFmtId="171" fontId="0" fillId="0" borderId="1" xfId="0" applyNumberFormat="1" applyBorder="1" applyAlignment="1">
      <alignment horizontal="center"/>
    </xf>
    <xf numFmtId="171" fontId="0" fillId="0" borderId="2" xfId="0" applyNumberFormat="1" applyBorder="1" applyAlignment="1">
      <alignment horizontal="center"/>
    </xf>
    <xf numFmtId="0" fontId="2" fillId="0" borderId="5" xfId="0" applyFont="1" applyBorder="1" applyAlignment="1">
      <alignment horizontal="center" wrapText="1"/>
    </xf>
    <xf numFmtId="0" fontId="0" fillId="0" borderId="5" xfId="0" applyBorder="1"/>
    <xf numFmtId="0" fontId="0" fillId="0" borderId="5" xfId="0" applyFill="1" applyBorder="1" applyAlignment="1">
      <alignment horizontal="center"/>
    </xf>
    <xf numFmtId="0" fontId="0" fillId="0" borderId="1" xfId="0" applyBorder="1"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172" fontId="3" fillId="4" borderId="0" xfId="0" applyNumberFormat="1" applyFont="1" applyFill="1" applyBorder="1" applyAlignment="1">
      <alignment horizontal="center"/>
    </xf>
    <xf numFmtId="171" fontId="0" fillId="4" borderId="0" xfId="0" applyNumberFormat="1" applyFill="1" applyBorder="1" applyAlignment="1">
      <alignment horizontal="center"/>
    </xf>
    <xf numFmtId="173" fontId="0" fillId="0" borderId="0" xfId="0" applyNumberFormat="1"/>
    <xf numFmtId="173" fontId="0" fillId="0" borderId="1" xfId="0" applyNumberFormat="1" applyBorder="1" applyAlignment="1">
      <alignment horizontal="center"/>
    </xf>
    <xf numFmtId="173" fontId="0" fillId="0" borderId="0" xfId="0" applyNumberFormat="1" applyAlignment="1">
      <alignment horizontal="center"/>
    </xf>
    <xf numFmtId="174" fontId="0" fillId="0" borderId="1" xfId="0" applyNumberFormat="1" applyBorder="1" applyAlignment="1">
      <alignment horizontal="center"/>
    </xf>
    <xf numFmtId="171" fontId="0" fillId="0" borderId="6" xfId="0" applyNumberFormat="1" applyBorder="1" applyAlignment="1">
      <alignment horizontal="center"/>
    </xf>
    <xf numFmtId="171" fontId="2" fillId="0" borderId="4" xfId="0" applyNumberFormat="1" applyFont="1" applyBorder="1" applyAlignment="1">
      <alignment horizontal="center"/>
    </xf>
    <xf numFmtId="171" fontId="2" fillId="0" borderId="7" xfId="0" applyNumberFormat="1" applyFont="1" applyBorder="1" applyAlignment="1">
      <alignment horizontal="center"/>
    </xf>
    <xf numFmtId="175" fontId="0" fillId="0" borderId="1" xfId="0" applyNumberFormat="1" applyBorder="1"/>
    <xf numFmtId="171" fontId="0" fillId="0" borderId="1" xfId="0" applyNumberFormat="1" applyBorder="1"/>
    <xf numFmtId="171" fontId="3" fillId="0" borderId="1" xfId="0" applyNumberFormat="1" applyFont="1" applyBorder="1" applyAlignment="1">
      <alignment horizontal="center"/>
    </xf>
    <xf numFmtId="171" fontId="2" fillId="0" borderId="4" xfId="0" applyNumberFormat="1" applyFont="1" applyBorder="1"/>
    <xf numFmtId="171" fontId="2" fillId="0" borderId="7" xfId="0" applyNumberFormat="1" applyFont="1" applyBorder="1"/>
    <xf numFmtId="175" fontId="0" fillId="0" borderId="1" xfId="0" applyNumberFormat="1" applyBorder="1" applyAlignment="1">
      <alignment horizontal="center"/>
    </xf>
    <xf numFmtId="176" fontId="3" fillId="0" borderId="1" xfId="0" applyNumberFormat="1" applyFont="1" applyBorder="1"/>
    <xf numFmtId="171" fontId="0" fillId="0" borderId="1" xfId="0" applyNumberFormat="1" applyBorder="1" applyAlignment="1">
      <alignment horizontal="center" vertical="center"/>
    </xf>
    <xf numFmtId="171" fontId="3" fillId="0" borderId="1" xfId="0" applyNumberFormat="1" applyFont="1" applyBorder="1" applyAlignment="1">
      <alignment horizontal="center" vertical="center"/>
    </xf>
    <xf numFmtId="164" fontId="0" fillId="0" borderId="1" xfId="0" applyNumberFormat="1" applyBorder="1"/>
    <xf numFmtId="171" fontId="2" fillId="0" borderId="3" xfId="0" applyNumberFormat="1" applyFont="1" applyFill="1" applyBorder="1" applyAlignment="1">
      <alignment horizontal="left"/>
    </xf>
    <xf numFmtId="0" fontId="2" fillId="0" borderId="4" xfId="0" applyFont="1" applyBorder="1"/>
    <xf numFmtId="177" fontId="4" fillId="0" borderId="0" xfId="0" applyNumberFormat="1" applyFont="1"/>
    <xf numFmtId="0" fontId="5" fillId="0" borderId="0" xfId="0" applyFont="1"/>
    <xf numFmtId="173" fontId="0" fillId="0" borderId="1" xfId="0" applyNumberFormat="1" applyBorder="1"/>
    <xf numFmtId="173" fontId="3" fillId="0" borderId="1" xfId="0" applyNumberFormat="1" applyFont="1" applyBorder="1"/>
    <xf numFmtId="0" fontId="0" fillId="0" borderId="3" xfId="0" applyBorder="1"/>
    <xf numFmtId="168" fontId="4" fillId="4" borderId="0" xfId="0" applyNumberFormat="1" applyFont="1" applyFill="1" applyBorder="1" applyAlignment="1">
      <alignment horizontal="center"/>
    </xf>
    <xf numFmtId="0" fontId="6" fillId="0" borderId="7" xfId="0" applyFont="1" applyBorder="1"/>
    <xf numFmtId="1" fontId="2" fillId="0" borderId="3" xfId="0" applyNumberFormat="1" applyFont="1" applyBorder="1" applyAlignment="1">
      <alignment horizontal="left"/>
    </xf>
    <xf numFmtId="0" fontId="2" fillId="0" borderId="0" xfId="0" applyFont="1" applyBorder="1"/>
    <xf numFmtId="0" fontId="0" fillId="0" borderId="0" xfId="0" applyBorder="1"/>
    <xf numFmtId="171" fontId="2" fillId="0" borderId="0" xfId="0" applyNumberFormat="1" applyFont="1" applyBorder="1"/>
    <xf numFmtId="172" fontId="4" fillId="4" borderId="0" xfId="0" applyNumberFormat="1" applyFont="1" applyFill="1" applyBorder="1" applyAlignment="1">
      <alignment horizontal="center"/>
    </xf>
    <xf numFmtId="176" fontId="4" fillId="0" borderId="0" xfId="0" applyNumberFormat="1" applyFont="1" applyFill="1" applyBorder="1"/>
    <xf numFmtId="173" fontId="4" fillId="0" borderId="0" xfId="0" applyNumberFormat="1" applyFont="1" applyFill="1" applyBorder="1" applyAlignment="1">
      <alignment horizontal="center"/>
    </xf>
    <xf numFmtId="171" fontId="4" fillId="0" borderId="0" xfId="0" applyNumberFormat="1" applyFont="1" applyFill="1" applyBorder="1" applyAlignment="1">
      <alignment horizontal="right" vertical="center"/>
    </xf>
    <xf numFmtId="173" fontId="4" fillId="0" borderId="0" xfId="0" applyNumberFormat="1" applyFont="1" applyFill="1" applyBorder="1"/>
    <xf numFmtId="0" fontId="2" fillId="0" borderId="3" xfId="0" applyFont="1" applyFill="1" applyBorder="1"/>
    <xf numFmtId="0" fontId="2" fillId="0" borderId="4" xfId="0" applyFont="1" applyFill="1" applyBorder="1"/>
    <xf numFmtId="0" fontId="6" fillId="0" borderId="7" xfId="0" applyFont="1" applyFill="1" applyBorder="1"/>
    <xf numFmtId="0" fontId="0" fillId="0" borderId="0" xfId="0" applyAlignment="1">
      <alignment horizontal="right"/>
    </xf>
    <xf numFmtId="164" fontId="0" fillId="0" borderId="0" xfId="0" applyNumberFormat="1"/>
    <xf numFmtId="0" fontId="0" fillId="0" borderId="1" xfId="0" applyBorder="1" applyAlignment="1">
      <alignment horizontal="center" wrapText="1"/>
    </xf>
    <xf numFmtId="0" fontId="0" fillId="0" borderId="2" xfId="0" applyBorder="1" applyAlignment="1">
      <alignment horizontal="center"/>
    </xf>
    <xf numFmtId="0" fontId="0" fillId="0" borderId="0" xfId="0" applyAlignment="1">
      <alignment horizontal="center"/>
    </xf>
    <xf numFmtId="169" fontId="0" fillId="0" borderId="1" xfId="0" applyNumberFormat="1" applyBorder="1" applyAlignment="1">
      <alignment horizontal="center"/>
    </xf>
    <xf numFmtId="178" fontId="0" fillId="0" borderId="1" xfId="0" applyNumberFormat="1" applyBorder="1"/>
    <xf numFmtId="0" fontId="3" fillId="0" borderId="0" xfId="0" applyFont="1"/>
    <xf numFmtId="0" fontId="0" fillId="0" borderId="0" xfId="0" applyFont="1"/>
    <xf numFmtId="0" fontId="3" fillId="0" borderId="1" xfId="0" applyFont="1" applyBorder="1"/>
    <xf numFmtId="179" fontId="0" fillId="0" borderId="1" xfId="0" applyNumberFormat="1" applyBorder="1" applyAlignment="1">
      <alignment horizontal="center"/>
    </xf>
    <xf numFmtId="0" fontId="3" fillId="0" borderId="0" xfId="0" applyFont="1" applyFill="1" applyBorder="1" applyAlignment="1">
      <alignment horizontal="center"/>
    </xf>
    <xf numFmtId="0" fontId="2" fillId="0" borderId="7" xfId="0" applyFont="1" applyBorder="1"/>
    <xf numFmtId="0" fontId="0" fillId="0" borderId="0" xfId="0" applyAlignment="1">
      <alignment/>
    </xf>
    <xf numFmtId="0" fontId="7" fillId="0" borderId="0" xfId="20"/>
    <xf numFmtId="180" fontId="0" fillId="0" borderId="1" xfId="0" applyNumberFormat="1" applyBorder="1" applyAlignment="1">
      <alignment horizontal="center"/>
    </xf>
    <xf numFmtId="171" fontId="3" fillId="0" borderId="1" xfId="0" applyNumberFormat="1" applyFont="1" applyBorder="1"/>
    <xf numFmtId="164" fontId="0" fillId="0" borderId="1" xfId="0" applyNumberFormat="1" applyBorder="1" applyAlignment="1">
      <alignment horizontal="center"/>
    </xf>
    <xf numFmtId="164" fontId="2" fillId="0" borderId="4" xfId="0" applyNumberFormat="1" applyFont="1" applyBorder="1"/>
    <xf numFmtId="164" fontId="2" fillId="0" borderId="7" xfId="0" applyNumberFormat="1" applyFont="1" applyBorder="1"/>
    <xf numFmtId="0" fontId="0" fillId="0" borderId="0" xfId="0" applyAlignment="1">
      <alignment horizontal="left"/>
    </xf>
    <xf numFmtId="0" fontId="0" fillId="5" borderId="0" xfId="0" applyFill="1" applyAlignment="1">
      <alignment horizontal="center"/>
    </xf>
    <xf numFmtId="0" fontId="8" fillId="5" borderId="0" xfId="0" applyFont="1" applyFill="1" applyAlignment="1">
      <alignment horizontal="center"/>
    </xf>
    <xf numFmtId="0" fontId="8" fillId="5" borderId="0" xfId="0" applyFont="1" applyFill="1" applyAlignment="1">
      <alignment horizontal="center" wrapText="1"/>
    </xf>
    <xf numFmtId="0" fontId="0" fillId="0" borderId="8" xfId="0" applyBorder="1"/>
    <xf numFmtId="10" fontId="0" fillId="0" borderId="0" xfId="0" applyNumberFormat="1"/>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6" xfId="0" applyBorder="1" applyAlignment="1">
      <alignment horizontal="left" indent="1"/>
    </xf>
    <xf numFmtId="0" fontId="0" fillId="0" borderId="2" xfId="0" applyBorder="1" applyAlignment="1">
      <alignment horizontal="left" wrapText="1" indent="1"/>
    </xf>
    <xf numFmtId="3" fontId="0" fillId="2" borderId="2" xfId="0" applyNumberFormat="1" applyFill="1" applyBorder="1" applyAlignment="1">
      <alignment horizontal="center"/>
    </xf>
    <xf numFmtId="3" fontId="0" fillId="2" borderId="6" xfId="0" applyNumberFormat="1" applyFill="1" applyBorder="1" applyAlignment="1">
      <alignment horizontal="center"/>
    </xf>
    <xf numFmtId="0" fontId="0" fillId="0" borderId="9" xfId="0" applyBorder="1"/>
    <xf numFmtId="3" fontId="0" fillId="0" borderId="9" xfId="0" applyNumberFormat="1" applyBorder="1" applyAlignment="1">
      <alignment horizontal="center"/>
    </xf>
    <xf numFmtId="0" fontId="0" fillId="0" borderId="9" xfId="0" applyBorder="1" applyAlignment="1">
      <alignment horizontal="center"/>
    </xf>
    <xf numFmtId="0" fontId="0" fillId="0" borderId="2" xfId="0" applyBorder="1" applyAlignment="1">
      <alignment horizontal="left" indent="1"/>
    </xf>
    <xf numFmtId="3" fontId="0" fillId="0" borderId="8" xfId="0" applyNumberFormat="1" applyBorder="1" applyAlignment="1">
      <alignment horizontal="center"/>
    </xf>
    <xf numFmtId="0" fontId="0" fillId="0" borderId="8" xfId="0" applyBorder="1" applyAlignment="1">
      <alignment horizontal="center"/>
    </xf>
    <xf numFmtId="166" fontId="0" fillId="2" borderId="2" xfId="0" applyNumberFormat="1" applyFill="1" applyBorder="1" applyAlignment="1">
      <alignment horizontal="center"/>
    </xf>
    <xf numFmtId="0" fontId="2" fillId="0" borderId="8" xfId="0" applyFont="1" applyBorder="1" applyAlignment="1">
      <alignment horizontal="left"/>
    </xf>
    <xf numFmtId="0" fontId="0" fillId="0" borderId="0" xfId="0" applyFill="1" applyBorder="1"/>
    <xf numFmtId="0" fontId="0" fillId="0" borderId="8" xfId="0" applyFill="1" applyBorder="1"/>
    <xf numFmtId="17" fontId="0" fillId="0" borderId="0" xfId="0" applyNumberFormat="1" applyBorder="1" applyAlignment="1">
      <alignment horizontal="left"/>
    </xf>
    <xf numFmtId="0" fontId="10" fillId="0" borderId="0" xfId="0" applyFont="1"/>
    <xf numFmtId="0" fontId="0" fillId="6" borderId="0" xfId="0" applyFill="1"/>
    <xf numFmtId="170" fontId="0" fillId="0" borderId="0" xfId="0" applyNumberFormat="1" applyFill="1" applyBorder="1" applyAlignment="1">
      <alignment horizontal="center"/>
    </xf>
    <xf numFmtId="172" fontId="4" fillId="0" borderId="0" xfId="0" applyNumberFormat="1" applyFont="1" applyFill="1" applyBorder="1" applyAlignment="1">
      <alignment horizontal="center"/>
    </xf>
    <xf numFmtId="0" fontId="2" fillId="0" borderId="1" xfId="0" applyFont="1" applyFill="1" applyBorder="1" applyAlignment="1">
      <alignment horizontal="center" wrapText="1"/>
    </xf>
    <xf numFmtId="168" fontId="0" fillId="0" borderId="2" xfId="0" applyNumberFormat="1" applyFill="1" applyBorder="1" applyAlignment="1">
      <alignment horizontal="center"/>
    </xf>
    <xf numFmtId="171" fontId="3" fillId="0" borderId="1" xfId="0" applyNumberFormat="1" applyFont="1" applyFill="1" applyBorder="1" applyAlignment="1">
      <alignment horizontal="center"/>
    </xf>
    <xf numFmtId="168" fontId="0" fillId="0" borderId="1" xfId="0" applyNumberFormat="1" applyFill="1" applyBorder="1" applyAlignment="1">
      <alignment horizontal="center"/>
    </xf>
    <xf numFmtId="0" fontId="0" fillId="0" borderId="3" xfId="0" applyFill="1" applyBorder="1" applyAlignment="1">
      <alignment horizontal="center"/>
    </xf>
    <xf numFmtId="0" fontId="2" fillId="0" borderId="3" xfId="0" applyFont="1" applyFill="1" applyBorder="1" applyAlignment="1">
      <alignment horizontal="center"/>
    </xf>
    <xf numFmtId="0" fontId="0" fillId="0" borderId="4" xfId="0" applyFill="1" applyBorder="1" applyAlignment="1">
      <alignment horizontal="center"/>
    </xf>
    <xf numFmtId="173" fontId="2" fillId="0" borderId="4" xfId="0" applyNumberFormat="1" applyFont="1" applyFill="1" applyBorder="1" applyAlignment="1">
      <alignment horizontal="center"/>
    </xf>
    <xf numFmtId="173" fontId="2" fillId="0" borderId="7" xfId="0" applyNumberFormat="1" applyFont="1" applyFill="1" applyBorder="1" applyAlignment="1">
      <alignment horizontal="center"/>
    </xf>
    <xf numFmtId="10" fontId="0" fillId="0" borderId="0" xfId="0" applyNumberFormat="1" applyFill="1"/>
    <xf numFmtId="0" fontId="0" fillId="0" borderId="0" xfId="0" applyFont="1" applyBorder="1"/>
    <xf numFmtId="0" fontId="0" fillId="0" borderId="0" xfId="0" applyFont="1" applyAlignment="1">
      <alignment horizontal="center"/>
    </xf>
    <xf numFmtId="0" fontId="0" fillId="0" borderId="0" xfId="0" applyFont="1" applyAlignment="1">
      <alignment horizontal="center" wrapText="1"/>
    </xf>
    <xf numFmtId="0" fontId="0" fillId="6" borderId="0" xfId="0" applyFont="1" applyFill="1"/>
    <xf numFmtId="0" fontId="0" fillId="0" borderId="0" xfId="0" applyFill="1" applyAlignment="1">
      <alignment horizontal="left"/>
    </xf>
    <xf numFmtId="0" fontId="0" fillId="6" borderId="0" xfId="0" applyFill="1" applyAlignment="1">
      <alignment horizontal="center"/>
    </xf>
    <xf numFmtId="0" fontId="0" fillId="6" borderId="0" xfId="0" applyFill="1" applyAlignment="1">
      <alignment horizontal="left"/>
    </xf>
    <xf numFmtId="0" fontId="11" fillId="0" borderId="0" xfId="0" applyFont="1"/>
    <xf numFmtId="166" fontId="0" fillId="0" borderId="0" xfId="0" applyNumberFormat="1" applyFill="1" applyBorder="1"/>
    <xf numFmtId="164" fontId="0" fillId="0" borderId="0" xfId="0" applyNumberFormat="1" applyBorder="1"/>
    <xf numFmtId="0" fontId="3" fillId="0" borderId="0" xfId="0" applyFont="1" applyAlignment="1">
      <alignment vertical="center"/>
    </xf>
    <xf numFmtId="0" fontId="2" fillId="0" borderId="0" xfId="0" applyFont="1" applyAlignment="1">
      <alignment wrapText="1"/>
    </xf>
    <xf numFmtId="179" fontId="0" fillId="0" borderId="0" xfId="0" applyNumberFormat="1"/>
    <xf numFmtId="0" fontId="2" fillId="0" borderId="10" xfId="0" applyFont="1" applyBorder="1"/>
    <xf numFmtId="0" fontId="2" fillId="0" borderId="11" xfId="0" applyFont="1" applyBorder="1"/>
    <xf numFmtId="0" fontId="2" fillId="0" borderId="11" xfId="0" applyFont="1" applyBorder="1" applyAlignment="1">
      <alignment horizontal="center"/>
    </xf>
    <xf numFmtId="0" fontId="0" fillId="0" borderId="11" xfId="0" applyBorder="1" applyAlignment="1">
      <alignment horizontal="center"/>
    </xf>
    <xf numFmtId="0" fontId="2" fillId="0" borderId="12" xfId="0" applyFont="1" applyBorder="1" applyAlignment="1">
      <alignment horizontal="center"/>
    </xf>
    <xf numFmtId="0" fontId="0" fillId="0" borderId="13" xfId="0" applyBorder="1"/>
    <xf numFmtId="0" fontId="0" fillId="0" borderId="14" xfId="0" applyBorder="1" applyAlignment="1">
      <alignment horizontal="center"/>
    </xf>
    <xf numFmtId="0" fontId="0" fillId="0" borderId="15" xfId="0" applyBorder="1"/>
    <xf numFmtId="0" fontId="0" fillId="0" borderId="16" xfId="0" applyBorder="1" applyAlignment="1">
      <alignment horizontal="center"/>
    </xf>
    <xf numFmtId="0" fontId="0" fillId="0" borderId="17" xfId="0" applyBorder="1"/>
    <xf numFmtId="0" fontId="0" fillId="0" borderId="18" xfId="0" applyBorder="1" applyAlignment="1">
      <alignment horizontal="center"/>
    </xf>
    <xf numFmtId="0" fontId="2" fillId="0" borderId="19" xfId="0" applyFont="1" applyBorder="1"/>
    <xf numFmtId="0" fontId="0" fillId="0" borderId="20" xfId="0" applyBorder="1" applyAlignment="1">
      <alignment horizontal="center"/>
    </xf>
    <xf numFmtId="0" fontId="0" fillId="0" borderId="21" xfId="0" applyBorder="1" applyAlignment="1">
      <alignment horizontal="center"/>
    </xf>
    <xf numFmtId="181" fontId="0" fillId="2" borderId="0" xfId="0" applyNumberFormat="1" applyFill="1"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4" xfId="0"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165" fontId="0" fillId="0" borderId="1" xfId="0" applyNumberFormat="1" applyBorder="1"/>
    <xf numFmtId="1" fontId="0" fillId="0" borderId="1" xfId="0" applyNumberFormat="1" applyBorder="1" applyAlignment="1">
      <alignment horizontal="center"/>
    </xf>
    <xf numFmtId="165" fontId="0" fillId="0" borderId="1" xfId="0" applyNumberFormat="1" applyFill="1" applyBorder="1" applyAlignment="1">
      <alignment horizontal="center"/>
    </xf>
    <xf numFmtId="171" fontId="0" fillId="0" borderId="1" xfId="0" applyNumberFormat="1" applyFill="1" applyBorder="1" applyAlignment="1">
      <alignment horizontal="center"/>
    </xf>
    <xf numFmtId="171" fontId="0" fillId="0" borderId="1" xfId="0" applyNumberFormat="1" applyBorder="1" applyAlignment="1">
      <alignment horizontal="center"/>
    </xf>
    <xf numFmtId="174" fontId="0" fillId="0" borderId="1" xfId="0" applyNumberFormat="1" applyBorder="1" applyAlignment="1">
      <alignment horizontal="center"/>
    </xf>
    <xf numFmtId="175" fontId="0" fillId="0" borderId="1" xfId="0" applyNumberFormat="1" applyBorder="1"/>
    <xf numFmtId="171" fontId="0" fillId="0" borderId="1" xfId="0" applyNumberFormat="1" applyBorder="1"/>
    <xf numFmtId="175" fontId="0" fillId="0" borderId="1" xfId="0" applyNumberFormat="1" applyBorder="1" applyAlignment="1">
      <alignment horizontal="center"/>
    </xf>
    <xf numFmtId="182" fontId="0" fillId="0" borderId="1" xfId="0" applyNumberFormat="1" applyBorder="1"/>
    <xf numFmtId="183" fontId="0" fillId="2" borderId="1" xfId="0" applyNumberFormat="1" applyFill="1" applyBorder="1"/>
    <xf numFmtId="178" fontId="0" fillId="0" borderId="1" xfId="0" applyNumberFormat="1" applyBorder="1" applyAlignment="1">
      <alignment horizontal="center"/>
    </xf>
    <xf numFmtId="0" fontId="0" fillId="0" borderId="3" xfId="0" applyBorder="1" applyAlignment="1">
      <alignment horizontal="right"/>
    </xf>
    <xf numFmtId="0" fontId="0" fillId="0" borderId="7" xfId="0" applyBorder="1" applyAlignment="1">
      <alignment horizontal="right"/>
    </xf>
    <xf numFmtId="0" fontId="0" fillId="0" borderId="4" xfId="0" applyBorder="1" applyAlignment="1">
      <alignment horizontal="center"/>
    </xf>
    <xf numFmtId="3" fontId="0" fillId="0" borderId="0" xfId="0" applyNumberFormat="1"/>
    <xf numFmtId="175" fontId="3" fillId="0" borderId="1" xfId="0" applyNumberFormat="1" applyFont="1" applyBorder="1" applyAlignment="1">
      <alignment horizontal="center"/>
    </xf>
    <xf numFmtId="0" fontId="0" fillId="0" borderId="0" xfId="0" applyBorder="1" applyAlignment="1">
      <alignment horizontal="left"/>
    </xf>
    <xf numFmtId="0" fontId="12" fillId="0" borderId="0" xfId="0" applyFont="1" applyAlignment="1">
      <alignment vertical="center"/>
    </xf>
    <xf numFmtId="0" fontId="2"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horizontal="center" wrapText="1"/>
    </xf>
    <xf numFmtId="0" fontId="0" fillId="0" borderId="1" xfId="0" applyFont="1" applyBorder="1" applyAlignment="1">
      <alignment horizontal="center"/>
    </xf>
    <xf numFmtId="169" fontId="3" fillId="0" borderId="1" xfId="0" applyNumberFormat="1" applyFont="1" applyBorder="1"/>
    <xf numFmtId="0" fontId="2" fillId="0" borderId="1" xfId="0" applyFont="1" applyFill="1" applyBorder="1" applyAlignment="1">
      <alignment horizontal="center"/>
    </xf>
    <xf numFmtId="0" fontId="6" fillId="0" borderId="3" xfId="0" applyFont="1" applyBorder="1"/>
    <xf numFmtId="0" fontId="6" fillId="0" borderId="4" xfId="0" applyFont="1" applyBorder="1"/>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0" fillId="2" borderId="1" xfId="0" applyFill="1" applyBorder="1" applyAlignment="1">
      <alignment horizontal="center"/>
    </xf>
    <xf numFmtId="171" fontId="4" fillId="0" borderId="1" xfId="0" applyNumberFormat="1" applyFont="1" applyFill="1" applyBorder="1" applyAlignment="1">
      <alignment horizontal="center"/>
    </xf>
    <xf numFmtId="10" fontId="0" fillId="0" borderId="1" xfId="0" applyNumberFormat="1" applyBorder="1"/>
    <xf numFmtId="171" fontId="4" fillId="0" borderId="1" xfId="0" applyNumberFormat="1" applyFont="1" applyBorder="1" applyAlignment="1">
      <alignment horizontal="center"/>
    </xf>
    <xf numFmtId="0" fontId="0" fillId="0" borderId="1" xfId="0" applyBorder="1" applyAlignment="1">
      <alignment horizontal="left"/>
    </xf>
    <xf numFmtId="171" fontId="6" fillId="0" borderId="7"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xf numFmtId="10" fontId="0" fillId="2" borderId="0" xfId="0" applyNumberFormat="1" applyFill="1" applyAlignment="1">
      <alignment horizontal="center"/>
    </xf>
    <xf numFmtId="0" fontId="2" fillId="0" borderId="1" xfId="0" applyFont="1" applyBorder="1" applyAlignment="1">
      <alignment horizontal="center"/>
    </xf>
    <xf numFmtId="0" fontId="0" fillId="0" borderId="0" xfId="0" applyAlignment="1">
      <alignment horizontal="center"/>
    </xf>
    <xf numFmtId="184" fontId="0" fillId="2" borderId="2" xfId="0" applyNumberFormat="1" applyFill="1" applyBorder="1"/>
    <xf numFmtId="184" fontId="0" fillId="2" borderId="1" xfId="0" applyNumberFormat="1" applyFill="1" applyBorder="1"/>
    <xf numFmtId="164" fontId="0" fillId="2" borderId="2" xfId="0" applyNumberFormat="1" applyFill="1" applyBorder="1"/>
    <xf numFmtId="184" fontId="0" fillId="2" borderId="6" xfId="0" applyNumberFormat="1" applyFill="1" applyBorder="1" applyAlignment="1">
      <alignment horizontal="center"/>
    </xf>
    <xf numFmtId="9" fontId="0" fillId="2" borderId="1" xfId="0" applyNumberFormat="1" applyFill="1" applyBorder="1" applyAlignment="1">
      <alignment horizontal="center"/>
    </xf>
    <xf numFmtId="165" fontId="0" fillId="0" borderId="25" xfId="0" applyNumberFormat="1" applyFill="1" applyBorder="1" applyAlignment="1">
      <alignment horizontal="center"/>
    </xf>
    <xf numFmtId="0" fontId="13" fillId="5" borderId="0" xfId="0" applyFont="1" applyFill="1" applyAlignment="1">
      <alignment horizontal="center"/>
    </xf>
    <xf numFmtId="0" fontId="13" fillId="5" borderId="0" xfId="0" applyFont="1" applyFill="1" applyAlignment="1">
      <alignment horizontal="center" wrapText="1"/>
    </xf>
    <xf numFmtId="3" fontId="0" fillId="0" borderId="0" xfId="0" applyNumberFormat="1" applyAlignment="1">
      <alignment horizontal="right"/>
    </xf>
    <xf numFmtId="0" fontId="0" fillId="0" borderId="0" xfId="0" applyBorder="1" applyAlignment="1">
      <alignment wrapText="1"/>
    </xf>
    <xf numFmtId="3" fontId="0" fillId="0" borderId="9" xfId="0" applyNumberFormat="1" applyBorder="1"/>
    <xf numFmtId="1" fontId="0" fillId="0" borderId="0" xfId="0" applyNumberFormat="1" applyAlignment="1">
      <alignment horizontal="right"/>
    </xf>
    <xf numFmtId="184" fontId="4" fillId="2" borderId="0" xfId="0" applyNumberFormat="1" applyFont="1" applyFill="1"/>
    <xf numFmtId="4" fontId="0" fillId="2" borderId="2" xfId="0" applyNumberFormat="1" applyFill="1" applyBorder="1" applyAlignment="1">
      <alignment horizontal="center"/>
    </xf>
    <xf numFmtId="4" fontId="0" fillId="2" borderId="1" xfId="0" applyNumberFormat="1" applyFill="1" applyBorder="1" applyAlignment="1">
      <alignment horizontal="center"/>
    </xf>
    <xf numFmtId="10" fontId="0" fillId="0" borderId="1" xfId="0" applyNumberFormat="1" applyFill="1" applyBorder="1"/>
    <xf numFmtId="0" fontId="10" fillId="0" borderId="0" xfId="0" applyFont="1" applyFill="1"/>
    <xf numFmtId="0" fontId="4" fillId="0" borderId="0" xfId="0" applyFont="1" applyAlignment="1">
      <alignment vertical="center"/>
    </xf>
    <xf numFmtId="0" fontId="4" fillId="0" borderId="0" xfId="0" applyFont="1"/>
    <xf numFmtId="0" fontId="4" fillId="0" borderId="0" xfId="0" applyFont="1" applyAlignment="1">
      <alignment wrapText="1"/>
    </xf>
    <xf numFmtId="0" fontId="4" fillId="0" borderId="0" xfId="0" applyFont="1" applyAlignment="1">
      <alignment horizontal="right"/>
    </xf>
    <xf numFmtId="0" fontId="4"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xf>
    <xf numFmtId="0" fontId="0" fillId="0" borderId="8" xfId="0" applyBorder="1" applyAlignment="1">
      <alignment horizontal="center"/>
    </xf>
    <xf numFmtId="0" fontId="2" fillId="0" borderId="1" xfId="0" applyFont="1" applyBorder="1" applyAlignment="1">
      <alignment horizontal="center"/>
    </xf>
    <xf numFmtId="0" fontId="2" fillId="0" borderId="1" xfId="0" applyFont="1" applyBorder="1" applyAlignment="1">
      <alignment/>
    </xf>
    <xf numFmtId="0" fontId="9" fillId="0" borderId="8" xfId="0" applyFont="1" applyBorder="1" applyAlignment="1">
      <alignment horizontal="center"/>
    </xf>
    <xf numFmtId="0" fontId="2" fillId="0" borderId="1" xfId="0" applyFont="1" applyFill="1" applyBorder="1" applyAlignment="1">
      <alignment horizontal="center"/>
    </xf>
    <xf numFmtId="0" fontId="0" fillId="0" borderId="1" xfId="0" applyBorder="1" applyAlignment="1">
      <alignment horizontal="center" vertical="center"/>
    </xf>
    <xf numFmtId="0" fontId="2" fillId="0" borderId="0" xfId="0" applyFont="1" applyBorder="1" applyAlignment="1">
      <alignment horizontal="left"/>
    </xf>
    <xf numFmtId="0" fontId="0" fillId="0" borderId="0" xfId="0" applyBorder="1" applyAlignment="1">
      <alignment horizontal="center"/>
    </xf>
    <xf numFmtId="0" fontId="13" fillId="0" borderId="0" xfId="0" applyFont="1"/>
    <xf numFmtId="0" fontId="13" fillId="0" borderId="1" xfId="0"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naturalgas.org/environment/naturalgas.asp" TargetMode="External" /><Relationship Id="rId2" Type="http://schemas.openxmlformats.org/officeDocument/2006/relationships/hyperlink" Target="http://www.epa.gov/ttnchie1/ap42/" TargetMode="External" /><Relationship Id="rId3" Type="http://schemas.openxmlformats.org/officeDocument/2006/relationships/hyperlink" Target="http://www.epa.gov/climatechange/ghgemissions/ind-assumption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pa.gov/climatechange/EPAactivities/economics/scc.html"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topLeftCell="A1">
      <selection activeCell="A1" sqref="A1:A16"/>
    </sheetView>
  </sheetViews>
  <sheetFormatPr defaultColWidth="9.140625" defaultRowHeight="15"/>
  <cols>
    <col min="2" max="2" width="30.8515625" style="0" customWidth="1"/>
    <col min="3" max="3" width="5.140625" style="0" customWidth="1"/>
    <col min="4" max="4" width="9.8515625" style="0" customWidth="1"/>
    <col min="5" max="5" width="3.28125" style="0" customWidth="1"/>
    <col min="6" max="6" width="10.57421875" style="0" customWidth="1"/>
    <col min="7" max="7" width="2.8515625" style="0" customWidth="1"/>
    <col min="8" max="8" width="3.57421875" style="0" customWidth="1"/>
    <col min="9" max="9" width="9.7109375" style="0" customWidth="1"/>
    <col min="10" max="10" width="2.140625" style="0" customWidth="1"/>
    <col min="11" max="11" width="2.7109375" style="0" customWidth="1"/>
    <col min="12" max="12" width="10.421875" style="0" customWidth="1"/>
  </cols>
  <sheetData>
    <row r="1" spans="1:12" ht="31.8" customHeight="1">
      <c r="A1" s="22"/>
      <c r="B1" s="259" t="s">
        <v>270</v>
      </c>
      <c r="C1" s="259"/>
      <c r="D1" s="259"/>
      <c r="E1" s="259"/>
      <c r="F1" s="259"/>
      <c r="G1" s="259"/>
      <c r="H1" s="259"/>
      <c r="I1" s="259"/>
      <c r="J1" s="259"/>
      <c r="K1" s="259"/>
      <c r="L1" s="259"/>
    </row>
    <row r="2" spans="1:12" ht="28.8">
      <c r="A2" s="22"/>
      <c r="D2" s="125" t="s">
        <v>240</v>
      </c>
      <c r="E2" s="125" t="s">
        <v>241</v>
      </c>
      <c r="F2" s="126" t="s">
        <v>242</v>
      </c>
      <c r="G2" s="125" t="s">
        <v>241</v>
      </c>
      <c r="H2" s="125" t="s">
        <v>243</v>
      </c>
      <c r="I2" s="126" t="s">
        <v>244</v>
      </c>
      <c r="J2" s="125" t="s">
        <v>245</v>
      </c>
      <c r="K2" s="125" t="s">
        <v>229</v>
      </c>
      <c r="L2" s="126" t="s">
        <v>246</v>
      </c>
    </row>
    <row r="3" spans="1:12" ht="15">
      <c r="A3" s="22"/>
      <c r="B3" t="s">
        <v>237</v>
      </c>
      <c r="D3" s="125" t="s">
        <v>131</v>
      </c>
      <c r="E3" s="125"/>
      <c r="F3" s="125" t="s">
        <v>247</v>
      </c>
      <c r="G3" s="125"/>
      <c r="H3" s="124"/>
      <c r="I3" s="125" t="s">
        <v>247</v>
      </c>
      <c r="J3" s="125"/>
      <c r="K3" s="125"/>
      <c r="L3" s="125" t="s">
        <v>131</v>
      </c>
    </row>
    <row r="4" spans="1:3" ht="15">
      <c r="A4" s="22"/>
      <c r="C4" t="s">
        <v>238</v>
      </c>
    </row>
    <row r="5" spans="1:12" ht="15">
      <c r="A5" s="22"/>
      <c r="B5" t="s">
        <v>230</v>
      </c>
      <c r="C5" s="1">
        <v>8</v>
      </c>
      <c r="D5" s="1" t="s">
        <v>249</v>
      </c>
      <c r="I5" t="s">
        <v>257</v>
      </c>
      <c r="L5" s="1" t="s">
        <v>260</v>
      </c>
    </row>
    <row r="6" spans="1:12" ht="15">
      <c r="A6" s="22"/>
      <c r="B6" t="s">
        <v>231</v>
      </c>
      <c r="C6" s="1">
        <v>9</v>
      </c>
      <c r="D6" s="1" t="s">
        <v>250</v>
      </c>
      <c r="F6" t="s">
        <v>116</v>
      </c>
      <c r="I6" t="s">
        <v>258</v>
      </c>
      <c r="J6" s="123"/>
      <c r="L6" s="1" t="s">
        <v>261</v>
      </c>
    </row>
    <row r="7" spans="1:12" ht="15">
      <c r="A7" s="22"/>
      <c r="B7" t="s">
        <v>232</v>
      </c>
      <c r="C7" s="1">
        <v>10</v>
      </c>
      <c r="D7" s="1" t="s">
        <v>251</v>
      </c>
      <c r="I7" t="s">
        <v>257</v>
      </c>
      <c r="L7" s="1" t="s">
        <v>262</v>
      </c>
    </row>
    <row r="8" spans="1:12" ht="15">
      <c r="A8" s="22"/>
      <c r="B8" t="s">
        <v>233</v>
      </c>
      <c r="C8" s="1">
        <v>11</v>
      </c>
      <c r="D8" s="1" t="s">
        <v>252</v>
      </c>
      <c r="F8" t="s">
        <v>116</v>
      </c>
      <c r="I8" t="s">
        <v>258</v>
      </c>
      <c r="L8" s="1" t="s">
        <v>263</v>
      </c>
    </row>
    <row r="9" spans="1:12" ht="15">
      <c r="A9" s="22"/>
      <c r="B9" t="s">
        <v>7</v>
      </c>
      <c r="C9" s="1">
        <v>12</v>
      </c>
      <c r="D9" s="1" t="s">
        <v>253</v>
      </c>
      <c r="F9" t="s">
        <v>116</v>
      </c>
      <c r="I9" t="s">
        <v>258</v>
      </c>
      <c r="L9" s="1" t="s">
        <v>264</v>
      </c>
    </row>
    <row r="10" spans="1:12" ht="15">
      <c r="A10" s="22"/>
      <c r="B10" t="s">
        <v>8</v>
      </c>
      <c r="C10" s="1">
        <v>13</v>
      </c>
      <c r="D10" s="1" t="s">
        <v>254</v>
      </c>
      <c r="F10" t="s">
        <v>116</v>
      </c>
      <c r="I10" t="s">
        <v>258</v>
      </c>
      <c r="L10" s="1" t="s">
        <v>265</v>
      </c>
    </row>
    <row r="11" spans="1:12" ht="15">
      <c r="A11" s="22"/>
      <c r="B11" t="s">
        <v>234</v>
      </c>
      <c r="C11" s="1">
        <v>15</v>
      </c>
      <c r="D11" s="1" t="s">
        <v>255</v>
      </c>
      <c r="F11" t="s">
        <v>117</v>
      </c>
      <c r="I11" t="s">
        <v>259</v>
      </c>
      <c r="L11" s="1" t="s">
        <v>266</v>
      </c>
    </row>
    <row r="12" spans="1:12" ht="15">
      <c r="A12" s="22"/>
      <c r="B12" t="s">
        <v>10</v>
      </c>
      <c r="C12" s="1">
        <v>17</v>
      </c>
      <c r="D12" s="1" t="s">
        <v>256</v>
      </c>
      <c r="I12" t="s">
        <v>257</v>
      </c>
      <c r="L12" s="1" t="s">
        <v>267</v>
      </c>
    </row>
    <row r="13" spans="1:2" ht="15">
      <c r="A13" s="22"/>
      <c r="B13" t="s">
        <v>235</v>
      </c>
    </row>
    <row r="14" spans="1:12" ht="15">
      <c r="A14" s="22"/>
      <c r="B14" t="s">
        <v>236</v>
      </c>
      <c r="L14" s="127"/>
    </row>
    <row r="15" spans="1:12" ht="15">
      <c r="A15" s="22"/>
      <c r="L15" s="1" t="s">
        <v>268</v>
      </c>
    </row>
    <row r="16" ht="15">
      <c r="A16" s="22"/>
    </row>
    <row r="18" ht="15">
      <c r="A18" t="s">
        <v>269</v>
      </c>
    </row>
  </sheetData>
  <mergeCells count="1">
    <mergeCell ref="B1:L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topLeftCell="A1">
      <selection activeCell="D3" sqref="D3"/>
    </sheetView>
  </sheetViews>
  <sheetFormatPr defaultColWidth="9.140625" defaultRowHeight="15"/>
  <cols>
    <col min="1" max="1" width="10.00390625" style="0" customWidth="1"/>
    <col min="2" max="3" width="12.00390625" style="0" customWidth="1"/>
    <col min="4" max="4" width="12.7109375" style="0" customWidth="1"/>
  </cols>
  <sheetData>
    <row r="1" spans="1:4" ht="15">
      <c r="A1" s="261" t="s">
        <v>660</v>
      </c>
      <c r="B1" s="261"/>
      <c r="C1" s="261"/>
      <c r="D1" s="261"/>
    </row>
    <row r="2" spans="1:4" ht="15">
      <c r="A2" s="15" t="s">
        <v>111</v>
      </c>
      <c r="B2" s="15" t="s">
        <v>112</v>
      </c>
      <c r="C2" s="15" t="s">
        <v>113</v>
      </c>
      <c r="D2" s="15" t="s">
        <v>114</v>
      </c>
    </row>
    <row r="3" spans="1:4" ht="15">
      <c r="A3" s="11">
        <v>1</v>
      </c>
      <c r="B3" s="6">
        <v>90</v>
      </c>
      <c r="C3" s="6">
        <v>20</v>
      </c>
      <c r="D3" s="31">
        <v>3.5</v>
      </c>
    </row>
    <row r="4" spans="1:4" ht="15">
      <c r="A4" s="11">
        <v>2</v>
      </c>
      <c r="B4" s="6">
        <v>135</v>
      </c>
      <c r="C4" s="6">
        <v>15</v>
      </c>
      <c r="D4" s="31">
        <v>3</v>
      </c>
    </row>
    <row r="5" spans="1:4" ht="15">
      <c r="A5" s="11">
        <v>3</v>
      </c>
      <c r="B5" s="6">
        <v>135</v>
      </c>
      <c r="C5" s="6">
        <v>30</v>
      </c>
      <c r="D5" s="31">
        <v>6.5</v>
      </c>
    </row>
    <row r="6" spans="1:4" ht="15">
      <c r="A6" s="11">
        <v>4</v>
      </c>
      <c r="B6" s="6">
        <v>180</v>
      </c>
      <c r="C6" s="6">
        <v>0</v>
      </c>
      <c r="D6" s="31">
        <v>6</v>
      </c>
    </row>
    <row r="7" spans="1:4" ht="15">
      <c r="A7" s="11">
        <v>5</v>
      </c>
      <c r="B7" s="6">
        <v>180</v>
      </c>
      <c r="C7" s="6">
        <v>15</v>
      </c>
      <c r="D7" s="31">
        <v>16</v>
      </c>
    </row>
    <row r="8" spans="1:4" ht="15">
      <c r="A8" s="11">
        <v>6</v>
      </c>
      <c r="B8" s="6">
        <v>180</v>
      </c>
      <c r="C8" s="6">
        <v>25</v>
      </c>
      <c r="D8" s="31">
        <v>22.5</v>
      </c>
    </row>
    <row r="9" spans="1:4" ht="15">
      <c r="A9" s="11">
        <v>7</v>
      </c>
      <c r="B9" s="6">
        <v>180</v>
      </c>
      <c r="C9" s="6">
        <v>35</v>
      </c>
      <c r="D9" s="31">
        <v>18</v>
      </c>
    </row>
    <row r="10" spans="1:4" ht="15">
      <c r="A10" s="11">
        <v>8</v>
      </c>
      <c r="B10" s="6">
        <v>235</v>
      </c>
      <c r="C10" s="6">
        <v>15</v>
      </c>
      <c r="D10" s="31">
        <v>8.5</v>
      </c>
    </row>
    <row r="11" spans="1:4" ht="15">
      <c r="A11" s="11">
        <v>9</v>
      </c>
      <c r="B11" s="6">
        <v>235</v>
      </c>
      <c r="C11" s="6">
        <v>30</v>
      </c>
      <c r="D11" s="31">
        <v>9</v>
      </c>
    </row>
    <row r="12" spans="1:4" ht="15">
      <c r="A12" s="11">
        <v>10</v>
      </c>
      <c r="B12" s="6">
        <v>270</v>
      </c>
      <c r="C12" s="6">
        <v>20</v>
      </c>
      <c r="D12" s="31">
        <v>7</v>
      </c>
    </row>
    <row r="13" spans="1:4" ht="15">
      <c r="A13" s="235">
        <v>11</v>
      </c>
      <c r="B13" s="6"/>
      <c r="C13" s="6"/>
      <c r="D13" s="31"/>
    </row>
    <row r="14" spans="1:4" ht="15">
      <c r="A14" s="235">
        <v>12</v>
      </c>
      <c r="B14" s="6"/>
      <c r="C14" s="6"/>
      <c r="D14" s="31"/>
    </row>
    <row r="15" spans="1:4" ht="15">
      <c r="A15" s="235">
        <v>13</v>
      </c>
      <c r="B15" s="6"/>
      <c r="C15" s="6"/>
      <c r="D15" s="31"/>
    </row>
    <row r="16" spans="1:4" ht="15">
      <c r="A16" s="235">
        <v>14</v>
      </c>
      <c r="B16" s="6"/>
      <c r="C16" s="6"/>
      <c r="D16" s="31"/>
    </row>
    <row r="17" spans="1:4" ht="15">
      <c r="A17" s="235">
        <v>15</v>
      </c>
      <c r="B17" s="6"/>
      <c r="C17" s="6"/>
      <c r="D17" s="31"/>
    </row>
    <row r="19" ht="15">
      <c r="A19" t="s">
        <v>115</v>
      </c>
    </row>
    <row r="21" ht="15">
      <c r="A21" t="s">
        <v>314</v>
      </c>
    </row>
    <row r="23" spans="1:3" ht="15">
      <c r="A23" s="127" t="s">
        <v>305</v>
      </c>
      <c r="B23" s="127"/>
      <c r="C23" s="127"/>
    </row>
    <row r="24" ht="15">
      <c r="A24" t="s">
        <v>306</v>
      </c>
    </row>
    <row r="25" ht="15">
      <c r="A25" t="s">
        <v>307</v>
      </c>
    </row>
    <row r="26" ht="15">
      <c r="A26" t="s">
        <v>308</v>
      </c>
    </row>
    <row r="27" ht="15">
      <c r="A27" t="s">
        <v>309</v>
      </c>
    </row>
    <row r="28" ht="15">
      <c r="A28" t="s">
        <v>310</v>
      </c>
    </row>
    <row r="29" ht="15">
      <c r="A29" t="s">
        <v>311</v>
      </c>
    </row>
    <row r="31" ht="15">
      <c r="A31" t="s">
        <v>312</v>
      </c>
    </row>
    <row r="32" ht="15">
      <c r="A32" t="s">
        <v>313</v>
      </c>
    </row>
  </sheetData>
  <mergeCells count="1">
    <mergeCell ref="A1:D1"/>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workbookViewId="0" topLeftCell="A1">
      <selection activeCell="C4" sqref="C4"/>
    </sheetView>
  </sheetViews>
  <sheetFormatPr defaultColWidth="9.140625" defaultRowHeight="15"/>
  <cols>
    <col min="3" max="3" width="11.7109375" style="0" customWidth="1"/>
    <col min="4" max="4" width="16.28125" style="0" customWidth="1"/>
    <col min="5" max="5" width="10.8515625" style="0" customWidth="1"/>
    <col min="6" max="6" width="11.00390625" style="0" customWidth="1"/>
    <col min="7" max="7" width="10.7109375" style="0" customWidth="1"/>
    <col min="8" max="8" width="13.28125" style="0" bestFit="1" customWidth="1"/>
    <col min="9" max="9" width="12.140625" style="0" customWidth="1"/>
    <col min="10" max="10" width="11.140625" style="0" customWidth="1"/>
    <col min="11" max="11" width="11.57421875" style="0" bestFit="1" customWidth="1"/>
    <col min="12" max="12" width="12.421875" style="0" customWidth="1"/>
    <col min="13" max="13" width="16.28125" style="0" customWidth="1"/>
    <col min="14" max="14" width="14.7109375" style="0" customWidth="1"/>
    <col min="15" max="15" width="14.140625" style="0" customWidth="1"/>
  </cols>
  <sheetData>
    <row r="1" spans="1:15" ht="43.2">
      <c r="A1" s="6"/>
      <c r="B1" s="6"/>
      <c r="C1" s="6"/>
      <c r="D1" s="105" t="s">
        <v>160</v>
      </c>
      <c r="E1" s="6"/>
      <c r="F1" s="6"/>
      <c r="G1" s="6"/>
      <c r="H1" s="262" t="s">
        <v>122</v>
      </c>
      <c r="I1" s="262"/>
      <c r="J1" s="6"/>
      <c r="K1" s="262" t="s">
        <v>126</v>
      </c>
      <c r="L1" s="262"/>
      <c r="M1" s="6"/>
      <c r="N1" s="262" t="s">
        <v>129</v>
      </c>
      <c r="O1" s="262"/>
    </row>
    <row r="2" spans="1:15" s="33" customFormat="1" ht="28.8">
      <c r="A2" s="262" t="s">
        <v>39</v>
      </c>
      <c r="B2" s="37" t="s">
        <v>134</v>
      </c>
      <c r="C2" s="37" t="s">
        <v>118</v>
      </c>
      <c r="D2" s="37" t="s">
        <v>156</v>
      </c>
      <c r="E2" s="37" t="s">
        <v>95</v>
      </c>
      <c r="F2" s="37" t="s">
        <v>120</v>
      </c>
      <c r="G2" s="151" t="s">
        <v>121</v>
      </c>
      <c r="H2" s="37" t="s">
        <v>123</v>
      </c>
      <c r="I2" s="37" t="s">
        <v>124</v>
      </c>
      <c r="J2" s="37" t="s">
        <v>125</v>
      </c>
      <c r="K2" s="37" t="s">
        <v>127</v>
      </c>
      <c r="L2" s="37" t="s">
        <v>124</v>
      </c>
      <c r="M2" s="37" t="s">
        <v>128</v>
      </c>
      <c r="N2" s="37" t="s">
        <v>130</v>
      </c>
      <c r="O2" s="37" t="s">
        <v>124</v>
      </c>
    </row>
    <row r="3" spans="1:15" ht="15">
      <c r="A3" s="262"/>
      <c r="B3" s="6"/>
      <c r="C3" s="12" t="s">
        <v>119</v>
      </c>
      <c r="D3" s="36" t="s">
        <v>119</v>
      </c>
      <c r="E3" s="12" t="s">
        <v>133</v>
      </c>
      <c r="F3" s="12" t="s">
        <v>119</v>
      </c>
      <c r="G3" s="12" t="s">
        <v>145</v>
      </c>
      <c r="H3" s="12" t="s">
        <v>131</v>
      </c>
      <c r="I3" s="12" t="s">
        <v>131</v>
      </c>
      <c r="J3" s="12" t="s">
        <v>132</v>
      </c>
      <c r="K3" s="12" t="s">
        <v>133</v>
      </c>
      <c r="L3" s="12" t="s">
        <v>133</v>
      </c>
      <c r="M3" s="12"/>
      <c r="N3" s="12" t="s">
        <v>133</v>
      </c>
      <c r="O3" s="12" t="s">
        <v>133</v>
      </c>
    </row>
    <row r="4" spans="1:15" ht="15">
      <c r="A4" s="34">
        <v>2014</v>
      </c>
      <c r="B4" s="34">
        <v>0</v>
      </c>
      <c r="C4" s="53">
        <f>'Table 3'!B6</f>
        <v>4.50254095441595</v>
      </c>
      <c r="D4" s="53">
        <f>C4</f>
        <v>4.50254095441595</v>
      </c>
      <c r="E4" s="53">
        <f>'Table 5'!F14</f>
        <v>-0.04</v>
      </c>
      <c r="F4" s="56">
        <f aca="true" t="shared" si="0" ref="F4:F28">C4+E4</f>
        <v>4.46254095441595</v>
      </c>
      <c r="G4" s="51">
        <f>'Table 5'!F13</f>
        <v>6950.1640179988</v>
      </c>
      <c r="H4" s="152">
        <f>(F4*G4)/10^6</f>
        <v>0.031015391570227757</v>
      </c>
      <c r="I4" s="153">
        <f aca="true" t="shared" si="1" ref="I4:I28">$L$32</f>
        <v>0.0368896069129745</v>
      </c>
      <c r="J4" s="208">
        <f>'Table 5'!B15</f>
        <v>1451.69467371372</v>
      </c>
      <c r="K4" s="55">
        <f>H4*J4</f>
        <v>45.02487874564505</v>
      </c>
      <c r="L4" s="55">
        <f>I4*J4</f>
        <v>53.55244587095791</v>
      </c>
      <c r="M4" s="52">
        <v>1</v>
      </c>
      <c r="N4" s="66">
        <f aca="true" t="shared" si="2" ref="N4:N28">K4*M4</f>
        <v>45.02487874564505</v>
      </c>
      <c r="O4" s="66">
        <f aca="true" t="shared" si="3" ref="O4:O28">L4*M4</f>
        <v>53.55244587095791</v>
      </c>
    </row>
    <row r="5" spans="1:15" ht="15">
      <c r="A5" s="32">
        <v>2015</v>
      </c>
      <c r="B5" s="32">
        <v>1</v>
      </c>
      <c r="C5" s="54">
        <f>'Table 3'!B7</f>
        <v>4.25796875</v>
      </c>
      <c r="D5" s="200">
        <f>D4+(D4*'Table 3'!$B$19)</f>
        <v>4.626360830662388</v>
      </c>
      <c r="E5" s="200">
        <f>E4+(E4*'Table 3'!$B$19)</f>
        <v>-0.0411</v>
      </c>
      <c r="F5" s="55">
        <f t="shared" si="0"/>
        <v>4.21686875</v>
      </c>
      <c r="G5" s="39">
        <f>$G$4*(1+'Table 5'!$F$16)^B5</f>
        <v>6957.114182016798</v>
      </c>
      <c r="H5" s="152">
        <f aca="true" t="shared" si="4" ref="H5:H28">(F5*G5)/10^6</f>
        <v>0.029337237384328443</v>
      </c>
      <c r="I5" s="153">
        <f t="shared" si="1"/>
        <v>0.0368896069129745</v>
      </c>
      <c r="J5" s="208">
        <f>J4-(J4*'Table 3'!$B$22)</f>
        <v>1444.4362003451515</v>
      </c>
      <c r="K5" s="55">
        <f aca="true" t="shared" si="5" ref="K5:K28">H5*J5</f>
        <v>42.375767696043106</v>
      </c>
      <c r="L5" s="55">
        <f aca="true" t="shared" si="6" ref="L5:L28">I5*J5</f>
        <v>53.284683641603124</v>
      </c>
      <c r="M5" s="52">
        <f>(1+'Table 3'!F13)^-B5</f>
        <v>0.9987016878058523</v>
      </c>
      <c r="N5" s="66">
        <f t="shared" si="2"/>
        <v>42.320750720106965</v>
      </c>
      <c r="O5" s="66">
        <f t="shared" si="3"/>
        <v>53.21550348706993</v>
      </c>
    </row>
    <row r="6" spans="1:15" ht="15">
      <c r="A6" s="32">
        <v>2016</v>
      </c>
      <c r="B6" s="32">
        <v>2</v>
      </c>
      <c r="C6" s="54">
        <f>'Table 3'!B8</f>
        <v>4.19864583333333</v>
      </c>
      <c r="D6" s="200">
        <f>D5+(D5*'Table 3'!$B$19)</f>
        <v>4.753585753505604</v>
      </c>
      <c r="E6" s="200">
        <f>E5+(E5*'Table 3'!$B$19)</f>
        <v>-0.04223025</v>
      </c>
      <c r="F6" s="55">
        <f t="shared" si="0"/>
        <v>4.15641558333333</v>
      </c>
      <c r="G6" s="198">
        <f>$G$4*(1+'Table 5'!$F$16)^B6</f>
        <v>6964.071296198814</v>
      </c>
      <c r="H6" s="152">
        <f t="shared" si="4"/>
        <v>0.028945574458965093</v>
      </c>
      <c r="I6" s="153">
        <f t="shared" si="1"/>
        <v>0.0368896069129745</v>
      </c>
      <c r="J6" s="208">
        <f>J5-(J5*'Table 3'!$B$22)</f>
        <v>1437.2140193434257</v>
      </c>
      <c r="K6" s="55">
        <f t="shared" si="5"/>
        <v>41.600985410373625</v>
      </c>
      <c r="L6" s="55">
        <f t="shared" si="6"/>
        <v>53.0182602233951</v>
      </c>
      <c r="M6" s="199">
        <f>(1+'Table 3'!F14)^-B6</f>
        <v>0.9942251327964142</v>
      </c>
      <c r="N6" s="66">
        <f t="shared" si="2"/>
        <v>41.36074524409041</v>
      </c>
      <c r="O6" s="66">
        <f t="shared" si="3"/>
        <v>52.71208681123984</v>
      </c>
    </row>
    <row r="7" spans="1:15" ht="15">
      <c r="A7" s="32">
        <v>2017</v>
      </c>
      <c r="B7" s="32">
        <v>3</v>
      </c>
      <c r="C7" s="54">
        <f>'Table 3'!B9</f>
        <v>4.27272916666667</v>
      </c>
      <c r="D7" s="200">
        <f>D6+(D6*'Table 3'!$B$19)</f>
        <v>4.884309361727008</v>
      </c>
      <c r="E7" s="200">
        <f>E6+(E6*'Table 3'!$B$19)</f>
        <v>-0.043391581874999995</v>
      </c>
      <c r="F7" s="55">
        <f t="shared" si="0"/>
        <v>4.229337584791669</v>
      </c>
      <c r="G7" s="198">
        <f>$G$4*(1+'Table 5'!$F$16)^B7</f>
        <v>6971.035367495011</v>
      </c>
      <c r="H7" s="152">
        <f t="shared" si="4"/>
        <v>0.029482861884658658</v>
      </c>
      <c r="I7" s="153">
        <f t="shared" si="1"/>
        <v>0.0368896069129745</v>
      </c>
      <c r="J7" s="208">
        <f>J6-(J6*'Table 3'!$B$22)</f>
        <v>1430.0279492467084</v>
      </c>
      <c r="K7" s="55">
        <f t="shared" si="5"/>
        <v>42.16131651884237</v>
      </c>
      <c r="L7" s="55">
        <f t="shared" si="6"/>
        <v>52.75316892227812</v>
      </c>
      <c r="M7" s="52">
        <f>(1+'Table 3'!F15)^-B7</f>
        <v>0.9857371419894557</v>
      </c>
      <c r="N7" s="66">
        <f t="shared" si="2"/>
        <v>41.559975647796506</v>
      </c>
      <c r="O7" s="66">
        <f t="shared" si="3"/>
        <v>52.00075796433341</v>
      </c>
    </row>
    <row r="8" spans="1:15" ht="15">
      <c r="A8" s="32">
        <v>2018</v>
      </c>
      <c r="B8" s="32">
        <v>4</v>
      </c>
      <c r="C8" s="54">
        <f>'Table 3'!B10</f>
        <v>4.36918402777778</v>
      </c>
      <c r="D8" s="200">
        <f>D7+(D7*'Table 3'!$B$19)</f>
        <v>5.018627869174501</v>
      </c>
      <c r="E8" s="200">
        <f>E7+(E7*'Table 3'!$B$19)</f>
        <v>-0.04458485037656249</v>
      </c>
      <c r="F8" s="55">
        <f t="shared" si="0"/>
        <v>4.324599177401217</v>
      </c>
      <c r="G8" s="198">
        <f>$G$4*(1+'Table 5'!$F$16)^B8</f>
        <v>6978.006402862506</v>
      </c>
      <c r="H8" s="152">
        <f t="shared" si="4"/>
        <v>0.030177080749719618</v>
      </c>
      <c r="I8" s="153">
        <f t="shared" si="1"/>
        <v>0.0368896069129745</v>
      </c>
      <c r="J8" s="208">
        <f>J7-(J7*'Table 3'!$B$22)</f>
        <v>1422.877809500475</v>
      </c>
      <c r="K8" s="55">
        <f t="shared" si="5"/>
        <v>42.93829855428</v>
      </c>
      <c r="L8" s="55">
        <f t="shared" si="6"/>
        <v>52.489403077666736</v>
      </c>
      <c r="M8" s="52">
        <f>(1+(('Table 3'!F15+'Table 3'!F16)/2))^-B8</f>
        <v>0.9707468616749776</v>
      </c>
      <c r="N8" s="66">
        <f t="shared" si="2"/>
        <v>41.68221856723054</v>
      </c>
      <c r="O8" s="66">
        <f t="shared" si="3"/>
        <v>50.953923308837894</v>
      </c>
    </row>
    <row r="9" spans="1:15" ht="15">
      <c r="A9" s="32">
        <v>2019</v>
      </c>
      <c r="B9" s="32">
        <v>5</v>
      </c>
      <c r="C9" s="54">
        <f>'Table 3'!B11</f>
        <v>4.49356944444444</v>
      </c>
      <c r="D9" s="200">
        <f>D8+(D8*'Table 3'!$B$19)</f>
        <v>5.1566401355768</v>
      </c>
      <c r="E9" s="200">
        <f>E8+(E8*'Table 3'!$B$19)</f>
        <v>-0.04581093376191796</v>
      </c>
      <c r="F9" s="55">
        <f t="shared" si="0"/>
        <v>4.447758510682522</v>
      </c>
      <c r="G9" s="198">
        <f>$G$4*(1+'Table 5'!$F$16)^B9</f>
        <v>6984.9844092653675</v>
      </c>
      <c r="H9" s="152">
        <f t="shared" si="4"/>
        <v>0.03106752385329477</v>
      </c>
      <c r="I9" s="153">
        <f t="shared" si="1"/>
        <v>0.0368896069129745</v>
      </c>
      <c r="J9" s="208">
        <f>J8-(J8*'Table 3'!$B$22)</f>
        <v>1415.7634204529727</v>
      </c>
      <c r="K9" s="55">
        <f t="shared" si="5"/>
        <v>43.98426383554492</v>
      </c>
      <c r="L9" s="55">
        <f t="shared" si="6"/>
        <v>52.226956062278404</v>
      </c>
      <c r="M9" s="199">
        <f>(1+'Table 3'!F16)^-B9</f>
        <v>0.9509948048645146</v>
      </c>
      <c r="N9" s="66">
        <f t="shared" si="2"/>
        <v>41.82880640339337</v>
      </c>
      <c r="O9" s="66">
        <f t="shared" si="3"/>
        <v>49.66756388911403</v>
      </c>
    </row>
    <row r="10" spans="1:15" ht="15">
      <c r="A10" s="32">
        <v>2020</v>
      </c>
      <c r="B10" s="32">
        <v>6</v>
      </c>
      <c r="C10" s="54">
        <f>'Table 3'!B12</f>
        <v>4.68930902777778</v>
      </c>
      <c r="D10" s="200">
        <f>D9+(D9*'Table 3'!$B$19)</f>
        <v>5.298447739305162</v>
      </c>
      <c r="E10" s="200">
        <f>E9+(E9*'Table 3'!$B$19)</f>
        <v>-0.0470707344403707</v>
      </c>
      <c r="F10" s="55">
        <f t="shared" si="0"/>
        <v>4.642238293337409</v>
      </c>
      <c r="G10" s="198">
        <f>$G$4*(1+'Table 5'!$F$16)^B10</f>
        <v>6991.969393674631</v>
      </c>
      <c r="H10" s="152">
        <f t="shared" si="4"/>
        <v>0.032458388065159514</v>
      </c>
      <c r="I10" s="153">
        <f t="shared" si="1"/>
        <v>0.0368896069129745</v>
      </c>
      <c r="J10" s="208">
        <f>J9-(J9*'Table 3'!$B$22)</f>
        <v>1408.684603350708</v>
      </c>
      <c r="K10" s="55">
        <f t="shared" si="5"/>
        <v>45.72363151697258</v>
      </c>
      <c r="L10" s="55">
        <f t="shared" si="6"/>
        <v>51.96582128196702</v>
      </c>
      <c r="M10" s="52">
        <f>(1+(('Table 3'!F16+'Table 3'!F17)/2))^-B10</f>
        <v>0.9270755770149295</v>
      </c>
      <c r="N10" s="66">
        <f t="shared" si="2"/>
        <v>42.389262071815374</v>
      </c>
      <c r="O10" s="66">
        <f t="shared" si="3"/>
        <v>48.176243750034274</v>
      </c>
    </row>
    <row r="11" spans="1:15" ht="15">
      <c r="A11" s="32">
        <v>2021</v>
      </c>
      <c r="B11" s="32">
        <v>7</v>
      </c>
      <c r="C11" s="54">
        <f>'Table 3'!B13</f>
        <v>4.85902777777778</v>
      </c>
      <c r="D11" s="200">
        <f>D10+(D10*'Table 3'!$B$19)</f>
        <v>5.444155052136054</v>
      </c>
      <c r="E11" s="200">
        <f>E10+(E10*'Table 3'!$B$19)</f>
        <v>-0.048365179637480896</v>
      </c>
      <c r="F11" s="55">
        <f t="shared" si="0"/>
        <v>4.810662598140299</v>
      </c>
      <c r="G11" s="198">
        <f>$G$4*(1+'Table 5'!$F$16)^B11</f>
        <v>6998.961363068304</v>
      </c>
      <c r="H11" s="152">
        <f t="shared" si="4"/>
        <v>0.03366964165514173</v>
      </c>
      <c r="I11" s="153">
        <f t="shared" si="1"/>
        <v>0.0368896069129745</v>
      </c>
      <c r="J11" s="208">
        <f>J10-(J10*'Table 3'!$B$22)</f>
        <v>1401.6411803339543</v>
      </c>
      <c r="K11" s="55">
        <f t="shared" si="5"/>
        <v>47.19275627093413</v>
      </c>
      <c r="L11" s="55">
        <f t="shared" si="6"/>
        <v>51.70599217555718</v>
      </c>
      <c r="M11" s="52">
        <f>(1+'Table 3'!F17)^-B11</f>
        <v>0.8991647993176459</v>
      </c>
      <c r="N11" s="66">
        <f t="shared" si="2"/>
        <v>42.43406522160107</v>
      </c>
      <c r="O11" s="66">
        <f t="shared" si="3"/>
        <v>46.49220807805464</v>
      </c>
    </row>
    <row r="12" spans="1:15" ht="15">
      <c r="A12" s="32">
        <v>2022</v>
      </c>
      <c r="B12" s="32">
        <v>8</v>
      </c>
      <c r="C12" s="54">
        <f>'Table 3'!B14</f>
        <v>5.0028125</v>
      </c>
      <c r="D12" s="200">
        <f>D11+(D11*'Table 3'!$B$19)</f>
        <v>5.593869316069796</v>
      </c>
      <c r="E12" s="200">
        <f>E11+(E11*'Table 3'!$B$19)</f>
        <v>-0.04969522207751162</v>
      </c>
      <c r="F12" s="55">
        <f t="shared" si="0"/>
        <v>4.953117277922488</v>
      </c>
      <c r="G12" s="198">
        <f>$G$4*(1+'Table 5'!$F$16)^B12</f>
        <v>7005.960324431373</v>
      </c>
      <c r="H12" s="152">
        <f t="shared" si="4"/>
        <v>0.03470134313138048</v>
      </c>
      <c r="I12" s="153">
        <f t="shared" si="1"/>
        <v>0.0368896069129745</v>
      </c>
      <c r="J12" s="208">
        <f>J11-(J11*'Table 3'!$B$22)</f>
        <v>1394.6329744322845</v>
      </c>
      <c r="K12" s="55">
        <f t="shared" si="5"/>
        <v>48.39563738811248</v>
      </c>
      <c r="L12" s="55">
        <f t="shared" si="6"/>
        <v>51.44746221467939</v>
      </c>
      <c r="M12" s="52">
        <f>(1+('Table 3'!$F$17+(('Table 3'!$F$18-'Table 3'!$F$17)/3)))^-B12</f>
        <v>0.8715530027463252</v>
      </c>
      <c r="N12" s="66">
        <f t="shared" si="2"/>
        <v>42.17936308543176</v>
      </c>
      <c r="O12" s="66">
        <f t="shared" si="3"/>
        <v>44.83919017688193</v>
      </c>
    </row>
    <row r="13" spans="1:15" ht="15">
      <c r="A13" s="32">
        <v>2023</v>
      </c>
      <c r="B13" s="32">
        <v>9</v>
      </c>
      <c r="C13" s="54">
        <f>'Table 3'!B15</f>
        <v>5.09129166666667</v>
      </c>
      <c r="D13" s="200">
        <f>D12+(D12*'Table 3'!$B$19)</f>
        <v>5.747700722261715</v>
      </c>
      <c r="E13" s="200">
        <f>E12+(E12*'Table 3'!$B$19)</f>
        <v>-0.05106184068464319</v>
      </c>
      <c r="F13" s="55">
        <f t="shared" si="0"/>
        <v>5.040229825982027</v>
      </c>
      <c r="G13" s="198">
        <f>$G$4*(1+'Table 5'!$F$16)^B13</f>
        <v>7012.966284755804</v>
      </c>
      <c r="H13" s="152">
        <f t="shared" si="4"/>
        <v>0.03534696183703257</v>
      </c>
      <c r="I13" s="153">
        <f t="shared" si="1"/>
        <v>0.0368896069129745</v>
      </c>
      <c r="J13" s="208">
        <f>J12-(J12*'Table 3'!$B$22)</f>
        <v>1387.659809560123</v>
      </c>
      <c r="K13" s="55">
        <f t="shared" si="5"/>
        <v>49.049558331305555</v>
      </c>
      <c r="L13" s="55">
        <f t="shared" si="6"/>
        <v>51.190224903605994</v>
      </c>
      <c r="M13" s="199">
        <f>(1+('Table 3'!$F$17+((('Table 3'!$F$18-'Table 3'!$F$17)/3)*2)))^-B13</f>
        <v>0.8414458012420336</v>
      </c>
      <c r="N13" s="66">
        <f t="shared" si="2"/>
        <v>41.27254491065327</v>
      </c>
      <c r="O13" s="66">
        <f t="shared" si="3"/>
        <v>43.07379980977465</v>
      </c>
    </row>
    <row r="14" spans="1:15" ht="15">
      <c r="A14" s="32">
        <v>2024</v>
      </c>
      <c r="B14" s="32">
        <v>10</v>
      </c>
      <c r="C14" s="54">
        <f>'Table 3'!B16</f>
        <v>5.14583333333333</v>
      </c>
      <c r="D14" s="200">
        <f>D13+(D13*'Table 3'!$B$19)</f>
        <v>5.9057624921239125</v>
      </c>
      <c r="E14" s="200">
        <f>E13+(E13*'Table 3'!$B$19)</f>
        <v>-0.05246604130347087</v>
      </c>
      <c r="F14" s="55">
        <f t="shared" si="0"/>
        <v>5.09336729202986</v>
      </c>
      <c r="G14" s="198">
        <f>$G$4*(1+'Table 5'!$F$16)^B14</f>
        <v>7019.979251040559</v>
      </c>
      <c r="H14" s="152">
        <f t="shared" si="4"/>
        <v>0.03575533270797825</v>
      </c>
      <c r="I14" s="153">
        <f t="shared" si="1"/>
        <v>0.0368896069129745</v>
      </c>
      <c r="J14" s="208">
        <f>J13-(J13*'Table 3'!$B$22)</f>
        <v>1380.7215105123223</v>
      </c>
      <c r="K14" s="55">
        <f t="shared" si="5"/>
        <v>49.368156985430375</v>
      </c>
      <c r="L14" s="55">
        <f t="shared" si="6"/>
        <v>50.93427377908796</v>
      </c>
      <c r="M14" s="52">
        <f>(1+'Table 3'!F18)^-B14</f>
        <v>0.8091731523016171</v>
      </c>
      <c r="N14" s="66">
        <f t="shared" si="2"/>
        <v>39.947387211221795</v>
      </c>
      <c r="O14" s="66">
        <f t="shared" si="3"/>
        <v>41.21464687401821</v>
      </c>
    </row>
    <row r="15" spans="1:15" ht="15">
      <c r="A15" s="32">
        <v>2025</v>
      </c>
      <c r="B15" s="32">
        <v>11</v>
      </c>
      <c r="C15" s="54">
        <f>'Table 3'!B17</f>
        <v>5.23983333333333</v>
      </c>
      <c r="D15" s="200">
        <f>D14+(D14*'Table 3'!$B$19)</f>
        <v>6.06817096065732</v>
      </c>
      <c r="E15" s="200">
        <f>E14+(E14*'Table 3'!$B$19)</f>
        <v>-0.053908857439316324</v>
      </c>
      <c r="F15" s="55">
        <f t="shared" si="0"/>
        <v>5.185924475894013</v>
      </c>
      <c r="G15" s="198">
        <f>$G$4*(1+'Table 5'!$F$16)^B15</f>
        <v>7026.999230291597</v>
      </c>
      <c r="H15" s="152">
        <f t="shared" si="4"/>
        <v>0.036441487300457584</v>
      </c>
      <c r="I15" s="153">
        <f t="shared" si="1"/>
        <v>0.0368896069129745</v>
      </c>
      <c r="J15" s="208">
        <f>J14-(J14*'Table 3'!$B$22)</f>
        <v>1373.8179029597607</v>
      </c>
      <c r="K15" s="55">
        <f t="shared" si="5"/>
        <v>50.06396766384939</v>
      </c>
      <c r="L15" s="55">
        <f t="shared" si="6"/>
        <v>50.679602410192516</v>
      </c>
      <c r="M15" s="199">
        <f>(1+('Table 3'!$F$18+((('Table 3'!$F$19-'Table 3'!$F$18)/10)*1)))^-B15</f>
        <v>0.7855952119750378</v>
      </c>
      <c r="N15" s="66">
        <f t="shared" si="2"/>
        <v>39.3300132891932</v>
      </c>
      <c r="O15" s="66">
        <f t="shared" si="3"/>
        <v>39.81365299824583</v>
      </c>
    </row>
    <row r="16" spans="1:15" ht="15">
      <c r="A16" s="32">
        <v>2026</v>
      </c>
      <c r="B16" s="32">
        <v>12</v>
      </c>
      <c r="C16" s="120">
        <f>C15+(C15*'Table 3'!$F$10)</f>
        <v>5.383928749999996</v>
      </c>
      <c r="D16" s="200">
        <f>D15+(D15*'Table 3'!$B$19)</f>
        <v>6.235045662075397</v>
      </c>
      <c r="E16" s="200">
        <f>E15+(E15*'Table 3'!$B$19)</f>
        <v>-0.05539135101889752</v>
      </c>
      <c r="F16" s="55">
        <f t="shared" si="0"/>
        <v>5.328537398981099</v>
      </c>
      <c r="G16" s="198">
        <f>$G$4*(1+'Table 5'!$F$16)^B16</f>
        <v>7034.026229521888</v>
      </c>
      <c r="H16" s="152">
        <f t="shared" si="4"/>
        <v>0.03748107182942139</v>
      </c>
      <c r="I16" s="153">
        <f t="shared" si="1"/>
        <v>0.0368896069129745</v>
      </c>
      <c r="J16" s="208">
        <f>J15-(J15*'Table 3'!$B$22)</f>
        <v>1366.9488134449618</v>
      </c>
      <c r="K16" s="55">
        <f t="shared" si="5"/>
        <v>51.234706663872956</v>
      </c>
      <c r="L16" s="55">
        <f t="shared" si="6"/>
        <v>50.42620439814156</v>
      </c>
      <c r="M16" s="199">
        <f>(1+('Table 3'!$F$18+((('Table 3'!$F$19-'Table 3'!$F$18)/10)*2)))^-B16</f>
        <v>0.7615460572155455</v>
      </c>
      <c r="N16" s="66">
        <f t="shared" si="2"/>
        <v>39.01758885246748</v>
      </c>
      <c r="O16" s="66">
        <f t="shared" si="3"/>
        <v>38.4018771397499</v>
      </c>
    </row>
    <row r="17" spans="1:15" ht="15">
      <c r="A17" s="32">
        <v>2027</v>
      </c>
      <c r="B17" s="32">
        <v>13</v>
      </c>
      <c r="C17" s="120">
        <f>C16+(C16*'Table 3'!$F$10)</f>
        <v>5.531986790624996</v>
      </c>
      <c r="D17" s="200">
        <f>D16+(D16*'Table 3'!$B$19)</f>
        <v>6.40650941778247</v>
      </c>
      <c r="E17" s="200">
        <f>E16+(E16*'Table 3'!$B$19)</f>
        <v>-0.056914613171917205</v>
      </c>
      <c r="F17" s="55">
        <f t="shared" si="0"/>
        <v>5.475072177453079</v>
      </c>
      <c r="G17" s="198">
        <f>$G$4*(1+'Table 5'!$F$16)^B17</f>
        <v>7041.06025575141</v>
      </c>
      <c r="H17" s="152">
        <f t="shared" si="4"/>
        <v>0.038550313106035204</v>
      </c>
      <c r="I17" s="153">
        <f t="shared" si="1"/>
        <v>0.0368896069129745</v>
      </c>
      <c r="J17" s="208">
        <f>J16-(J16*'Table 3'!$B$22)</f>
        <v>1360.114069377737</v>
      </c>
      <c r="K17" s="55">
        <f t="shared" si="5"/>
        <v>52.432823234435446</v>
      </c>
      <c r="L17" s="55">
        <f t="shared" si="6"/>
        <v>50.174073376150844</v>
      </c>
      <c r="M17" s="199">
        <f>(1+('Table 3'!$F$18+((('Table 3'!$F$19-'Table 3'!$F$18)/10)*3)))^-B17</f>
        <v>0.7371133159255532</v>
      </c>
      <c r="N17" s="66">
        <f t="shared" si="2"/>
        <v>38.6489321976731</v>
      </c>
      <c r="O17" s="66">
        <f t="shared" si="3"/>
        <v>36.98397759978656</v>
      </c>
    </row>
    <row r="18" spans="1:15" ht="15">
      <c r="A18" s="32">
        <v>2028</v>
      </c>
      <c r="B18" s="32">
        <v>14</v>
      </c>
      <c r="C18" s="120">
        <f>C17+(C17*'Table 3'!$F$10)</f>
        <v>5.684116427367184</v>
      </c>
      <c r="D18" s="200">
        <f>D17+(D17*'Table 3'!$B$19)</f>
        <v>6.582688426771488</v>
      </c>
      <c r="E18" s="200">
        <f>E17+(E17*'Table 3'!$B$19)</f>
        <v>-0.058479765034144926</v>
      </c>
      <c r="F18" s="55">
        <f t="shared" si="0"/>
        <v>5.625636662333039</v>
      </c>
      <c r="G18" s="198">
        <f>$G$4*(1+'Table 5'!$F$16)^B18</f>
        <v>7048.101316007159</v>
      </c>
      <c r="H18" s="152">
        <f t="shared" si="4"/>
        <v>0.039650057163167614</v>
      </c>
      <c r="I18" s="153">
        <f t="shared" si="1"/>
        <v>0.0368896069129745</v>
      </c>
      <c r="J18" s="208">
        <f>J17-(J17*'Table 3'!$B$22)</f>
        <v>1353.3134990308483</v>
      </c>
      <c r="K18" s="55">
        <f t="shared" si="5"/>
        <v>53.65895759625952</v>
      </c>
      <c r="L18" s="55">
        <f t="shared" si="6"/>
        <v>49.92320300927009</v>
      </c>
      <c r="M18" s="199">
        <f>(1+('Table 3'!$F$18+((('Table 3'!$F$19-'Table 3'!$F$18)/10)*4)))^-B18</f>
        <v>0.7123834614185387</v>
      </c>
      <c r="N18" s="66">
        <f t="shared" si="2"/>
        <v>38.22575394853395</v>
      </c>
      <c r="O18" s="66">
        <f t="shared" si="3"/>
        <v>35.56446416484423</v>
      </c>
    </row>
    <row r="19" spans="1:15" ht="15">
      <c r="A19" s="32">
        <v>2029</v>
      </c>
      <c r="B19" s="32">
        <v>15</v>
      </c>
      <c r="C19" s="120">
        <f>C18+(C18*'Table 3'!$F$10)</f>
        <v>5.8404296291197815</v>
      </c>
      <c r="D19" s="200">
        <f>D18+(D18*'Table 3'!$B$19)</f>
        <v>6.7637123585077035</v>
      </c>
      <c r="E19" s="200">
        <f>E18+(E18*'Table 3'!$B$19)</f>
        <v>-0.060087958572583915</v>
      </c>
      <c r="F19" s="55">
        <f t="shared" si="0"/>
        <v>5.780341670547197</v>
      </c>
      <c r="G19" s="198">
        <f>$G$4*(1+'Table 5'!$F$16)^B19</f>
        <v>7055.149417323166</v>
      </c>
      <c r="H19" s="152">
        <f t="shared" si="4"/>
        <v>0.04078117416888988</v>
      </c>
      <c r="I19" s="153">
        <f t="shared" si="1"/>
        <v>0.0368896069129745</v>
      </c>
      <c r="J19" s="208">
        <f>J18-(J18*'Table 3'!$B$22)</f>
        <v>1346.546931535694</v>
      </c>
      <c r="K19" s="55">
        <f t="shared" si="5"/>
        <v>54.91376494154137</v>
      </c>
      <c r="L19" s="55">
        <f t="shared" si="6"/>
        <v>49.67358699422374</v>
      </c>
      <c r="M19" s="199">
        <f>(1+('Table 3'!$F$18+((('Table 3'!$F$19-'Table 3'!$F$18)/10)*5)))^-B19</f>
        <v>0.6874413305885249</v>
      </c>
      <c r="N19" s="66">
        <f t="shared" si="2"/>
        <v>37.74999163903869</v>
      </c>
      <c r="O19" s="66">
        <f t="shared" si="3"/>
        <v>34.14767673841401</v>
      </c>
    </row>
    <row r="20" spans="1:15" ht="15">
      <c r="A20" s="32">
        <v>2030</v>
      </c>
      <c r="B20" s="32">
        <v>16</v>
      </c>
      <c r="C20" s="120">
        <f>C19+(C19*'Table 3'!$F$10)</f>
        <v>6.001041443920576</v>
      </c>
      <c r="D20" s="200">
        <f>D19+(D19*'Table 3'!$B$19)</f>
        <v>6.949714448366666</v>
      </c>
      <c r="E20" s="200">
        <f>E19+(E19*'Table 3'!$B$19)</f>
        <v>-0.061740377433329975</v>
      </c>
      <c r="F20" s="55">
        <f t="shared" si="0"/>
        <v>5.939301066487245</v>
      </c>
      <c r="G20" s="198">
        <f>$G$4*(1+'Table 5'!$F$16)^B20</f>
        <v>7062.204566740488</v>
      </c>
      <c r="H20" s="152">
        <f t="shared" si="4"/>
        <v>0.041944559114992876</v>
      </c>
      <c r="I20" s="153">
        <f t="shared" si="1"/>
        <v>0.0368896069129745</v>
      </c>
      <c r="J20" s="208">
        <f>J19-(J19*'Table 3'!$B$22)</f>
        <v>1339.8141968780155</v>
      </c>
      <c r="K20" s="55">
        <f t="shared" si="5"/>
        <v>56.197915784056626</v>
      </c>
      <c r="L20" s="55">
        <f t="shared" si="6"/>
        <v>49.42521905925262</v>
      </c>
      <c r="M20" s="199">
        <f>(1+('Table 3'!$F$18+((('Table 3'!$F$19-'Table 3'!$F$18)/10)*6)))^-B20</f>
        <v>0.6623696715288925</v>
      </c>
      <c r="N20" s="66">
        <f t="shared" si="2"/>
        <v>37.22379501849395</v>
      </c>
      <c r="O20" s="66">
        <f t="shared" si="3"/>
        <v>32.73776611352071</v>
      </c>
    </row>
    <row r="21" spans="1:15" ht="15">
      <c r="A21" s="32">
        <v>2031</v>
      </c>
      <c r="B21" s="32">
        <v>17</v>
      </c>
      <c r="C21" s="120">
        <f>C20+(C20*'Table 3'!$F$10)</f>
        <v>6.166070083628392</v>
      </c>
      <c r="D21" s="200">
        <f>D20+(D20*'Table 3'!$B$19)</f>
        <v>7.140831595696749</v>
      </c>
      <c r="E21" s="200">
        <f>E20+(E20*'Table 3'!$B$19)</f>
        <v>-0.06343823781274655</v>
      </c>
      <c r="F21" s="55">
        <f t="shared" si="0"/>
        <v>6.102631845815645</v>
      </c>
      <c r="G21" s="198">
        <f>$G$4*(1+'Table 5'!$F$16)^B21</f>
        <v>7069.266771307227</v>
      </c>
      <c r="H21" s="152">
        <f t="shared" si="4"/>
        <v>0.04314113252514583</v>
      </c>
      <c r="I21" s="153">
        <f t="shared" si="1"/>
        <v>0.0368896069129745</v>
      </c>
      <c r="J21" s="208">
        <f>J20-(J20*'Table 3'!$B$22)</f>
        <v>1333.1151258936254</v>
      </c>
      <c r="K21" s="55">
        <f t="shared" si="5"/>
        <v>57.512096317453356</v>
      </c>
      <c r="L21" s="55">
        <f t="shared" si="6"/>
        <v>49.17809296395635</v>
      </c>
      <c r="M21" s="199">
        <f>(1+('Table 3'!$F$18+((('Table 3'!$F$19-'Table 3'!$F$18)/10)*7)))^-B21</f>
        <v>0.6372487235974363</v>
      </c>
      <c r="N21" s="66">
        <f t="shared" si="2"/>
        <v>36.64950996970997</v>
      </c>
      <c r="O21" s="66">
        <f t="shared" si="3"/>
        <v>31.338676970237252</v>
      </c>
    </row>
    <row r="22" spans="1:15" ht="15">
      <c r="A22" s="32">
        <v>2032</v>
      </c>
      <c r="B22" s="32">
        <v>18</v>
      </c>
      <c r="C22" s="120">
        <f>C21+(C21*'Table 3'!$F$10)</f>
        <v>6.335637010928172</v>
      </c>
      <c r="D22" s="200">
        <f>D21+(D21*'Table 3'!$B$19)</f>
        <v>7.337204464578409</v>
      </c>
      <c r="E22" s="200">
        <f>E21+(E21*'Table 3'!$B$19)</f>
        <v>-0.06518278935259708</v>
      </c>
      <c r="F22" s="55">
        <f t="shared" si="0"/>
        <v>6.270454221575576</v>
      </c>
      <c r="G22" s="198">
        <f>$G$4*(1+'Table 5'!$F$16)^B22</f>
        <v>7076.336038078534</v>
      </c>
      <c r="H22" s="152">
        <f t="shared" si="4"/>
        <v>0.044371841183256926</v>
      </c>
      <c r="I22" s="153">
        <f t="shared" si="1"/>
        <v>0.0368896069129745</v>
      </c>
      <c r="J22" s="208">
        <f>J21-(J21*'Table 3'!$B$22)</f>
        <v>1326.4495502641573</v>
      </c>
      <c r="K22" s="55">
        <f t="shared" si="5"/>
        <v>58.85700878192376</v>
      </c>
      <c r="L22" s="55">
        <f t="shared" si="6"/>
        <v>48.93220249913657</v>
      </c>
      <c r="M22" s="199">
        <f>(1+('Table 3'!$F$18+((('Table 3'!$F$19-'Table 3'!$F$18)/10)*8)))^-B22</f>
        <v>0.6121558324693241</v>
      </c>
      <c r="N22" s="66">
        <f t="shared" si="2"/>
        <v>36.02966120755286</v>
      </c>
      <c r="O22" s="66">
        <f t="shared" si="3"/>
        <v>29.954133155416493</v>
      </c>
    </row>
    <row r="23" spans="1:15" ht="15">
      <c r="A23" s="32">
        <v>2033</v>
      </c>
      <c r="B23" s="32">
        <v>19</v>
      </c>
      <c r="C23" s="120">
        <f>C22+(C22*'Table 3'!$F$10)</f>
        <v>6.5098670287286975</v>
      </c>
      <c r="D23" s="200">
        <f>D22+(D22*'Table 3'!$B$19)</f>
        <v>7.5389775873543154</v>
      </c>
      <c r="E23" s="200">
        <f>E22+(E22*'Table 3'!$B$19)</f>
        <v>-0.0669753160597935</v>
      </c>
      <c r="F23" s="55">
        <f t="shared" si="0"/>
        <v>6.442891712668904</v>
      </c>
      <c r="G23" s="198">
        <f>$G$4*(1+'Table 5'!$F$16)^B23</f>
        <v>7083.41237411661</v>
      </c>
      <c r="H23" s="152">
        <f t="shared" si="4"/>
        <v>0.04563765888261227</v>
      </c>
      <c r="I23" s="153">
        <f t="shared" si="1"/>
        <v>0.0368896069129745</v>
      </c>
      <c r="J23" s="208">
        <f>J22-(J22*'Table 3'!$B$22)</f>
        <v>1319.8173025128365</v>
      </c>
      <c r="K23" s="55">
        <f t="shared" si="5"/>
        <v>60.23337183945032</v>
      </c>
      <c r="L23" s="55">
        <f t="shared" si="6"/>
        <v>48.68754148664089</v>
      </c>
      <c r="M23" s="199">
        <f>(1+('Table 3'!$F$18+((('Table 3'!$F$19-'Table 3'!$F$18)/10)*9)))^-B23</f>
        <v>0.5871651022517068</v>
      </c>
      <c r="N23" s="66">
        <f t="shared" si="2"/>
        <v>35.36693393507593</v>
      </c>
      <c r="O23" s="66">
        <f t="shared" si="3"/>
        <v>28.587625275387715</v>
      </c>
    </row>
    <row r="24" spans="1:15" ht="15">
      <c r="A24" s="32">
        <v>2034</v>
      </c>
      <c r="B24" s="32">
        <v>20</v>
      </c>
      <c r="C24" s="120">
        <f>C23+(C23*'Table 3'!$F$10)</f>
        <v>6.688888372018737</v>
      </c>
      <c r="D24" s="200">
        <f>D23+(D23*'Table 3'!$B$19)</f>
        <v>7.746299471006559</v>
      </c>
      <c r="E24" s="200">
        <f>E23+(E23*'Table 3'!$B$19)</f>
        <v>-0.06881713725143782</v>
      </c>
      <c r="F24" s="55">
        <f t="shared" si="0"/>
        <v>6.620071234767299</v>
      </c>
      <c r="G24" s="198">
        <f>$G$4*(1+'Table 5'!$F$16)^B24</f>
        <v>7090.4957864907265</v>
      </c>
      <c r="H24" s="152">
        <f t="shared" si="4"/>
        <v>0.046939587196385996</v>
      </c>
      <c r="I24" s="153">
        <f t="shared" si="1"/>
        <v>0.0368896069129745</v>
      </c>
      <c r="J24" s="208">
        <f>J23-(J23*'Table 3'!$B$22)</f>
        <v>1313.2182160002724</v>
      </c>
      <c r="K24" s="55">
        <f t="shared" si="5"/>
        <v>61.641920957827246</v>
      </c>
      <c r="L24" s="55">
        <f t="shared" si="6"/>
        <v>48.44410377920769</v>
      </c>
      <c r="M24" s="199">
        <f>(1+'Table 3'!F19)^-B24</f>
        <v>0.562347086260231</v>
      </c>
      <c r="N24" s="66">
        <f t="shared" si="2"/>
        <v>34.664154642117616</v>
      </c>
      <c r="O24" s="66">
        <f t="shared" si="3"/>
        <v>27.24240060672569</v>
      </c>
    </row>
    <row r="25" spans="1:15" ht="15">
      <c r="A25" s="32">
        <v>2035</v>
      </c>
      <c r="B25" s="32">
        <v>21</v>
      </c>
      <c r="C25" s="120">
        <f>C24+(C24*'Table 3'!$F$10)</f>
        <v>6.872832802249253</v>
      </c>
      <c r="D25" s="200">
        <f>D24+(D24*'Table 3'!$B$19)</f>
        <v>7.959322706459239</v>
      </c>
      <c r="E25" s="200">
        <f>E24+(E24*'Table 3'!$B$19)</f>
        <v>-0.07070960852585235</v>
      </c>
      <c r="F25" s="55">
        <f t="shared" si="0"/>
        <v>6.8021231937234</v>
      </c>
      <c r="G25" s="198">
        <f>$G$4*(1+'Table 5'!$F$16)^B25</f>
        <v>7097.586282277217</v>
      </c>
      <c r="H25" s="152">
        <f t="shared" si="4"/>
        <v>0.04827865627013089</v>
      </c>
      <c r="I25" s="153">
        <f t="shared" si="1"/>
        <v>0.0368896069129745</v>
      </c>
      <c r="J25" s="208">
        <f>J24-(J24*'Table 3'!$B$22)</f>
        <v>1306.652124920271</v>
      </c>
      <c r="K25" s="55">
        <f t="shared" si="5"/>
        <v>63.0834088036619</v>
      </c>
      <c r="L25" s="55">
        <f t="shared" si="6"/>
        <v>48.201883260311654</v>
      </c>
      <c r="M25" s="199">
        <f>(1+('Table 3'!$F$19+((('Table 3'!$F$20-'Table 3'!$F$19)/10)*1)))^-B25</f>
        <v>0.5425049414136642</v>
      </c>
      <c r="N25" s="66">
        <f t="shared" si="2"/>
        <v>34.223060997204826</v>
      </c>
      <c r="O25" s="66">
        <f t="shared" si="3"/>
        <v>26.149759854163655</v>
      </c>
    </row>
    <row r="26" spans="1:15" ht="15">
      <c r="A26" s="32">
        <v>2036</v>
      </c>
      <c r="B26" s="32">
        <v>22</v>
      </c>
      <c r="C26" s="120">
        <f>C25+(C25*'Table 3'!$F$10)</f>
        <v>7.0618357043111075</v>
      </c>
      <c r="D26" s="200">
        <f>D25+(D25*'Table 3'!$B$19)</f>
        <v>8.178204080886868</v>
      </c>
      <c r="E26" s="200">
        <f>E25+(E25*'Table 3'!$B$19)</f>
        <v>-0.0726541227603133</v>
      </c>
      <c r="F26" s="55">
        <f t="shared" si="0"/>
        <v>6.9891815815507945</v>
      </c>
      <c r="G26" s="198">
        <f>$G$4*(1+'Table 5'!$F$16)^B26</f>
        <v>7104.683868559492</v>
      </c>
      <c r="H26" s="152">
        <f t="shared" si="4"/>
        <v>0.04965592563687705</v>
      </c>
      <c r="I26" s="153">
        <f t="shared" si="1"/>
        <v>0.0368896069129745</v>
      </c>
      <c r="J26" s="208">
        <f>J25-(J25*'Table 3'!$B$22)</f>
        <v>1300.1188642956697</v>
      </c>
      <c r="K26" s="55">
        <f t="shared" si="5"/>
        <v>64.55860564456681</v>
      </c>
      <c r="L26" s="55">
        <f t="shared" si="6"/>
        <v>47.960873844010095</v>
      </c>
      <c r="M26" s="199">
        <f>(1+('Table 3'!$F$19+((('Table 3'!$F$20-'Table 3'!$F$19)/10)*2)))^-B26</f>
        <v>0.5230084682887434</v>
      </c>
      <c r="N26" s="66">
        <f t="shared" si="2"/>
        <v>33.76469745302191</v>
      </c>
      <c r="O26" s="66">
        <f t="shared" si="3"/>
        <v>25.083943166945375</v>
      </c>
    </row>
    <row r="27" spans="1:15" ht="15">
      <c r="A27" s="32">
        <v>2037</v>
      </c>
      <c r="B27" s="32">
        <v>23</v>
      </c>
      <c r="C27" s="120">
        <f>C26+(C26*'Table 3'!$F$10)</f>
        <v>7.256036186179663</v>
      </c>
      <c r="D27" s="200">
        <f>D26+(D26*'Table 3'!$B$19)</f>
        <v>8.403104693111256</v>
      </c>
      <c r="E27" s="200">
        <f>E26+(E26*'Table 3'!$B$19)</f>
        <v>-0.07465211113622192</v>
      </c>
      <c r="F27" s="55">
        <f t="shared" si="0"/>
        <v>7.181384075043441</v>
      </c>
      <c r="G27" s="198">
        <f>$G$4*(1+'Table 5'!$F$16)^B27</f>
        <v>7111.78855242805</v>
      </c>
      <c r="H27" s="152">
        <f t="shared" si="4"/>
        <v>0.05107248505548305</v>
      </c>
      <c r="I27" s="153">
        <f t="shared" si="1"/>
        <v>0.0368896069129745</v>
      </c>
      <c r="J27" s="208">
        <f>J26-(J26*'Table 3'!$B$22)</f>
        <v>1293.6182699741914</v>
      </c>
      <c r="K27" s="55">
        <f t="shared" si="5"/>
        <v>66.06829976075673</v>
      </c>
      <c r="L27" s="55">
        <f t="shared" si="6"/>
        <v>47.72106947479004</v>
      </c>
      <c r="M27" s="199">
        <f>(1+('Table 3'!$F$19+((('Table 3'!$F$20-'Table 3'!$F$19)/10)*3)))^-B27</f>
        <v>0.5038713515040373</v>
      </c>
      <c r="N27" s="66">
        <f t="shared" si="2"/>
        <v>33.289923492026354</v>
      </c>
      <c r="O27" s="66">
        <f t="shared" si="3"/>
        <v>24.045279771480516</v>
      </c>
    </row>
    <row r="28" spans="1:15" ht="15">
      <c r="A28" s="32">
        <v>2038</v>
      </c>
      <c r="B28" s="32">
        <v>24</v>
      </c>
      <c r="C28" s="120">
        <f>C27+(C27*'Table 3'!$F$10)</f>
        <v>7.455577181299604</v>
      </c>
      <c r="D28" s="200">
        <f>D27+(D27*'Table 3'!$B$19)</f>
        <v>8.634190072171815</v>
      </c>
      <c r="E28" s="200">
        <f>E27+(E27*'Table 3'!$B$19)</f>
        <v>-0.07670504419246801</v>
      </c>
      <c r="F28" s="55">
        <f t="shared" si="0"/>
        <v>7.378872137107136</v>
      </c>
      <c r="G28" s="198">
        <f>$G$4*(1+'Table 5'!$F$16)^B28</f>
        <v>7118.90034098048</v>
      </c>
      <c r="H28" s="154">
        <f t="shared" si="4"/>
        <v>0.05252945537290335</v>
      </c>
      <c r="I28" s="153">
        <f t="shared" si="1"/>
        <v>0.0368896069129745</v>
      </c>
      <c r="J28" s="208">
        <f>J27-(J27*'Table 3'!$B$22)</f>
        <v>1287.1501786243205</v>
      </c>
      <c r="K28" s="55">
        <f t="shared" si="5"/>
        <v>67.61329786627081</v>
      </c>
      <c r="L28" s="55">
        <f t="shared" si="6"/>
        <v>47.482464127416094</v>
      </c>
      <c r="M28" s="199">
        <f>(1+('Table 3'!$F$19+((('Table 3'!$F$20-'Table 3'!$F$19)/10)*4)))^-B28</f>
        <v>0.48510604333741975</v>
      </c>
      <c r="N28" s="66">
        <f t="shared" si="2"/>
        <v>32.79961940490104</v>
      </c>
      <c r="O28" s="66">
        <f t="shared" si="3"/>
        <v>23.03403030076179</v>
      </c>
    </row>
    <row r="29" spans="1:15" ht="15" thickBot="1">
      <c r="A29" s="38" t="s">
        <v>148</v>
      </c>
      <c r="B29" s="38"/>
      <c r="C29" s="1"/>
      <c r="D29" s="1"/>
      <c r="E29" s="1"/>
      <c r="F29" s="1"/>
      <c r="G29" s="1"/>
      <c r="H29" s="149"/>
      <c r="I29" s="1"/>
      <c r="J29" s="1"/>
      <c r="K29" s="1"/>
      <c r="L29" s="1"/>
      <c r="M29" s="1"/>
      <c r="N29" s="67"/>
      <c r="O29" s="67"/>
    </row>
    <row r="30" spans="1:15" ht="15" thickBot="1">
      <c r="A30" t="s">
        <v>135</v>
      </c>
      <c r="C30" s="1"/>
      <c r="D30" s="1"/>
      <c r="E30" s="1"/>
      <c r="F30" s="1"/>
      <c r="G30" s="1"/>
      <c r="H30" s="150"/>
      <c r="I30" s="1"/>
      <c r="J30" s="1"/>
      <c r="K30" s="155"/>
      <c r="L30" s="156" t="s">
        <v>144</v>
      </c>
      <c r="M30" s="157"/>
      <c r="N30" s="158">
        <f>SUM(N4:N29)</f>
        <v>968.9836338759968</v>
      </c>
      <c r="O30" s="159">
        <f>SUM(O4:O29)</f>
        <v>968.9836338759965</v>
      </c>
    </row>
    <row r="31" ht="15" thickBot="1"/>
    <row r="32" spans="1:14" ht="15" thickBot="1">
      <c r="A32" s="22"/>
      <c r="B32" s="22"/>
      <c r="C32" s="22"/>
      <c r="D32" s="22"/>
      <c r="E32" s="22"/>
      <c r="F32" s="22"/>
      <c r="G32" s="22"/>
      <c r="H32" s="22"/>
      <c r="I32" s="22"/>
      <c r="J32" s="100" t="s">
        <v>186</v>
      </c>
      <c r="K32" s="101"/>
      <c r="L32" s="102">
        <f>SUMPRODUCT(K4:K28,M4:M28)/SUMPRODUCT(J4:J28,M4:M28)</f>
        <v>0.0368896069129745</v>
      </c>
      <c r="M32" s="22"/>
      <c r="N32" s="22"/>
    </row>
    <row r="34" spans="1:9" ht="15">
      <c r="A34" s="22"/>
      <c r="B34" s="22"/>
      <c r="C34" s="22"/>
      <c r="D34" s="22"/>
      <c r="E34" s="22"/>
      <c r="F34" s="22"/>
      <c r="G34" s="22"/>
      <c r="H34" s="22"/>
      <c r="I34" s="22"/>
    </row>
    <row r="35" spans="1:10" ht="15">
      <c r="A35" s="22" t="s">
        <v>517</v>
      </c>
      <c r="B35" s="22"/>
      <c r="C35" s="22"/>
      <c r="D35" s="22"/>
      <c r="E35" s="22"/>
      <c r="F35" s="22"/>
      <c r="G35" s="22"/>
      <c r="H35" s="22"/>
      <c r="I35" s="22"/>
      <c r="J35" s="22"/>
    </row>
    <row r="36" spans="1:10" ht="15">
      <c r="A36" s="22"/>
      <c r="B36" s="22"/>
      <c r="C36" s="22"/>
      <c r="D36" s="22"/>
      <c r="E36" s="22"/>
      <c r="F36" s="22"/>
      <c r="G36" s="22"/>
      <c r="H36" s="22"/>
      <c r="I36" s="22"/>
      <c r="J36" s="22"/>
    </row>
    <row r="37" spans="1:10" ht="15">
      <c r="A37" s="22" t="s">
        <v>381</v>
      </c>
      <c r="B37" s="22"/>
      <c r="C37" s="22"/>
      <c r="D37" s="22"/>
      <c r="E37" s="22"/>
      <c r="F37" s="22"/>
      <c r="G37" s="22"/>
      <c r="H37" s="22"/>
      <c r="I37" s="22"/>
      <c r="J37" s="22"/>
    </row>
    <row r="38" spans="1:10" ht="15">
      <c r="A38" s="22" t="s">
        <v>382</v>
      </c>
      <c r="B38" s="22"/>
      <c r="C38" s="22"/>
      <c r="D38" s="22"/>
      <c r="E38" s="22"/>
      <c r="F38" s="22"/>
      <c r="G38" s="22"/>
      <c r="H38" s="22"/>
      <c r="I38" s="22"/>
      <c r="J38" s="22"/>
    </row>
    <row r="39" spans="1:10" ht="15">
      <c r="A39" s="22" t="s">
        <v>383</v>
      </c>
      <c r="B39" s="22"/>
      <c r="C39" s="22"/>
      <c r="D39" s="22"/>
      <c r="E39" s="22"/>
      <c r="F39" s="22"/>
      <c r="G39" s="22"/>
      <c r="H39" s="22"/>
      <c r="I39" s="22"/>
      <c r="J39" s="22"/>
    </row>
    <row r="40" spans="9:10" ht="15">
      <c r="I40" s="22"/>
      <c r="J40" s="22"/>
    </row>
    <row r="41" spans="1:12" ht="15">
      <c r="A41" s="22" t="s">
        <v>384</v>
      </c>
      <c r="B41" s="22"/>
      <c r="C41" s="22"/>
      <c r="D41" s="22"/>
      <c r="E41" s="22"/>
      <c r="F41" s="22"/>
      <c r="G41" s="22"/>
      <c r="H41" s="22"/>
      <c r="I41" s="22"/>
      <c r="J41" s="22"/>
      <c r="L41">
        <f>7080-6950</f>
        <v>130</v>
      </c>
    </row>
    <row r="42" spans="1:12" ht="15">
      <c r="A42" s="22" t="s">
        <v>385</v>
      </c>
      <c r="B42" s="22"/>
      <c r="C42" s="22"/>
      <c r="D42" s="22"/>
      <c r="E42" s="22"/>
      <c r="F42" s="22"/>
      <c r="G42" s="22"/>
      <c r="H42" s="22"/>
      <c r="L42">
        <f>L41/6950</f>
        <v>0.01870503597122302</v>
      </c>
    </row>
    <row r="43" ht="15">
      <c r="A43" t="s">
        <v>386</v>
      </c>
    </row>
    <row r="44" ht="15">
      <c r="A44" t="s">
        <v>387</v>
      </c>
    </row>
    <row r="46" ht="15">
      <c r="A46" t="s">
        <v>388</v>
      </c>
    </row>
    <row r="48" spans="2:5" ht="15">
      <c r="B48" s="38" t="s">
        <v>397</v>
      </c>
      <c r="E48" t="s">
        <v>394</v>
      </c>
    </row>
    <row r="49" ht="15">
      <c r="E49" t="s">
        <v>389</v>
      </c>
    </row>
    <row r="51" spans="2:5" ht="15">
      <c r="B51" s="38" t="s">
        <v>398</v>
      </c>
      <c r="E51" t="s">
        <v>395</v>
      </c>
    </row>
    <row r="52" ht="15">
      <c r="E52" t="s">
        <v>390</v>
      </c>
    </row>
    <row r="53" ht="15">
      <c r="E53" t="s">
        <v>391</v>
      </c>
    </row>
    <row r="55" spans="2:5" ht="15">
      <c r="B55" s="38" t="s">
        <v>399</v>
      </c>
      <c r="E55" t="s">
        <v>396</v>
      </c>
    </row>
    <row r="56" ht="15">
      <c r="E56" t="s">
        <v>392</v>
      </c>
    </row>
    <row r="57" ht="15">
      <c r="E57" t="s">
        <v>393</v>
      </c>
    </row>
    <row r="59" ht="15">
      <c r="A59" t="s">
        <v>400</v>
      </c>
    </row>
    <row r="60" ht="15">
      <c r="A60" t="s">
        <v>401</v>
      </c>
    </row>
    <row r="61" ht="15">
      <c r="A61" t="s">
        <v>402</v>
      </c>
    </row>
    <row r="62" ht="15">
      <c r="A62" t="s">
        <v>403</v>
      </c>
    </row>
    <row r="63" ht="15">
      <c r="A63" t="s">
        <v>404</v>
      </c>
    </row>
    <row r="65" ht="15">
      <c r="A65" t="s">
        <v>488</v>
      </c>
    </row>
    <row r="67" spans="2:3" ht="15">
      <c r="B67" s="148" t="s">
        <v>496</v>
      </c>
      <c r="C67" s="148"/>
    </row>
    <row r="68" spans="2:4" ht="15">
      <c r="B68" t="s">
        <v>494</v>
      </c>
      <c r="D68" t="s">
        <v>495</v>
      </c>
    </row>
    <row r="70" ht="15">
      <c r="A70" t="s">
        <v>497</v>
      </c>
    </row>
    <row r="72" ht="15">
      <c r="A72" t="s">
        <v>489</v>
      </c>
    </row>
    <row r="74" ht="15">
      <c r="A74" t="s">
        <v>490</v>
      </c>
    </row>
    <row r="75" ht="15">
      <c r="A75" t="s">
        <v>491</v>
      </c>
    </row>
    <row r="76" ht="15">
      <c r="A76" t="s">
        <v>492</v>
      </c>
    </row>
    <row r="77" ht="15">
      <c r="A77" t="s">
        <v>493</v>
      </c>
    </row>
    <row r="79" ht="15">
      <c r="A79" t="s">
        <v>498</v>
      </c>
    </row>
    <row r="80" ht="15">
      <c r="A80" t="s">
        <v>499</v>
      </c>
    </row>
  </sheetData>
  <mergeCells count="4">
    <mergeCell ref="A2:A3"/>
    <mergeCell ref="H1:I1"/>
    <mergeCell ref="K1:L1"/>
    <mergeCell ref="N1:O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topLeftCell="A1">
      <selection activeCell="A57" sqref="A57"/>
    </sheetView>
  </sheetViews>
  <sheetFormatPr defaultColWidth="9.140625" defaultRowHeight="15"/>
  <cols>
    <col min="3" max="3" width="9.57421875" style="0" bestFit="1" customWidth="1"/>
    <col min="6" max="6" width="10.28125" style="0" customWidth="1"/>
    <col min="7" max="7" width="10.7109375" style="0" customWidth="1"/>
    <col min="8" max="8" width="9.57421875" style="0" bestFit="1" customWidth="1"/>
    <col min="10" max="11" width="10.57421875" style="0" bestFit="1" customWidth="1"/>
    <col min="12" max="12" width="13.00390625" style="0" customWidth="1"/>
    <col min="13" max="13" width="9.57421875" style="0" bestFit="1" customWidth="1"/>
  </cols>
  <sheetData>
    <row r="1" spans="1:13" ht="15">
      <c r="A1" s="6"/>
      <c r="B1" s="6"/>
      <c r="C1" s="23"/>
      <c r="D1" s="6"/>
      <c r="E1" s="6"/>
      <c r="F1" s="6"/>
      <c r="G1" s="262" t="s">
        <v>126</v>
      </c>
      <c r="H1" s="262"/>
      <c r="I1" s="6"/>
      <c r="J1" s="262" t="s">
        <v>129</v>
      </c>
      <c r="K1" s="262"/>
      <c r="L1" s="265" t="s">
        <v>122</v>
      </c>
      <c r="M1" s="265"/>
    </row>
    <row r="2" spans="1:13" s="33" customFormat="1" ht="28.8">
      <c r="A2" s="262" t="s">
        <v>39</v>
      </c>
      <c r="B2" s="37" t="s">
        <v>134</v>
      </c>
      <c r="C2" s="151" t="s">
        <v>136</v>
      </c>
      <c r="D2" s="151" t="s">
        <v>137</v>
      </c>
      <c r="E2" s="151" t="s">
        <v>138</v>
      </c>
      <c r="F2" s="151" t="s">
        <v>139</v>
      </c>
      <c r="G2" s="151" t="s">
        <v>127</v>
      </c>
      <c r="H2" s="151" t="s">
        <v>124</v>
      </c>
      <c r="I2" s="40" t="s">
        <v>140</v>
      </c>
      <c r="J2" s="37" t="s">
        <v>127</v>
      </c>
      <c r="K2" s="37" t="s">
        <v>124</v>
      </c>
      <c r="L2" s="151" t="s">
        <v>127</v>
      </c>
      <c r="M2" s="151" t="s">
        <v>124</v>
      </c>
    </row>
    <row r="3" spans="1:13" ht="15">
      <c r="A3" s="262"/>
      <c r="B3" s="6"/>
      <c r="C3" s="36" t="s">
        <v>143</v>
      </c>
      <c r="D3" s="36" t="s">
        <v>141</v>
      </c>
      <c r="E3" s="36" t="s">
        <v>142</v>
      </c>
      <c r="F3" s="36" t="s">
        <v>132</v>
      </c>
      <c r="G3" s="36" t="s">
        <v>133</v>
      </c>
      <c r="H3" s="36" t="s">
        <v>133</v>
      </c>
      <c r="I3" s="36"/>
      <c r="J3" s="36" t="s">
        <v>133</v>
      </c>
      <c r="K3" s="36" t="s">
        <v>133</v>
      </c>
      <c r="L3" s="32" t="s">
        <v>131</v>
      </c>
      <c r="M3" s="32" t="s">
        <v>131</v>
      </c>
    </row>
    <row r="4" spans="1:15" ht="15">
      <c r="A4" s="32">
        <v>2014</v>
      </c>
      <c r="B4" s="32">
        <v>0</v>
      </c>
      <c r="C4" s="55">
        <f>'Table 5'!F17</f>
        <v>2.00448803827751</v>
      </c>
      <c r="D4" s="19">
        <v>1</v>
      </c>
      <c r="E4" s="19">
        <v>1</v>
      </c>
      <c r="F4" s="68">
        <f>'Table 5'!B15</f>
        <v>1451.69467371372</v>
      </c>
      <c r="G4" s="55">
        <f>(C4*E4)/D4</f>
        <v>2.00448803827751</v>
      </c>
      <c r="H4" s="55">
        <f>M4*F4</f>
        <v>2.3467908046427266</v>
      </c>
      <c r="I4" s="19">
        <v>1</v>
      </c>
      <c r="J4" s="55">
        <f>G4*I4</f>
        <v>2.00448803827751</v>
      </c>
      <c r="K4" s="55">
        <f>H4*I4</f>
        <v>2.3467908046427266</v>
      </c>
      <c r="L4" s="200">
        <f>C4/F4</f>
        <v>0.0013807917564026297</v>
      </c>
      <c r="M4" s="153">
        <f aca="true" t="shared" si="0" ref="M4:M28">$H$31</f>
        <v>0.0016165870462548264</v>
      </c>
      <c r="O4">
        <f>C4/F4</f>
        <v>0.0013807917564026297</v>
      </c>
    </row>
    <row r="5" spans="1:13" ht="15">
      <c r="A5" s="32">
        <v>2015</v>
      </c>
      <c r="B5" s="32">
        <v>1</v>
      </c>
      <c r="C5" s="118">
        <f>C4+(C4*'Table 5'!$F$19)</f>
        <v>2.0377625397129164</v>
      </c>
      <c r="D5" s="19">
        <f>D4-(D4*'Table 5'!$F$16)</f>
        <v>0.999</v>
      </c>
      <c r="E5" s="19">
        <f>E4-(E4*'Table 3'!$B$22)</f>
        <v>0.995</v>
      </c>
      <c r="F5" s="68">
        <f>F4-(F4*'Table 3'!$B$22)</f>
        <v>1444.4362003451515</v>
      </c>
      <c r="G5" s="55">
        <f aca="true" t="shared" si="1" ref="G5:G28">(C5*E5)/D5</f>
        <v>2.0296033303446963</v>
      </c>
      <c r="H5" s="55">
        <f aca="true" t="shared" si="2" ref="H5:H28">M5*F5</f>
        <v>2.3350568506195133</v>
      </c>
      <c r="I5" s="19">
        <f>1/(1+'Table 5'!$B$5)^B5</f>
        <v>0.9388789784996715</v>
      </c>
      <c r="J5" s="55">
        <f aca="true" t="shared" si="3" ref="J5:J28">G5*I5</f>
        <v>1.9055519015535598</v>
      </c>
      <c r="K5" s="55">
        <f aca="true" t="shared" si="4" ref="K5:K28">H5*I5</f>
        <v>2.1923357906483085</v>
      </c>
      <c r="L5" s="200">
        <f aca="true" t="shared" si="5" ref="L5:L28">C5/F5</f>
        <v>0.0014107667332250383</v>
      </c>
      <c r="M5" s="153">
        <f t="shared" si="0"/>
        <v>0.0016165870462548264</v>
      </c>
    </row>
    <row r="6" spans="1:13" ht="15">
      <c r="A6" s="32">
        <v>2016</v>
      </c>
      <c r="B6" s="32">
        <v>2</v>
      </c>
      <c r="C6" s="118">
        <f>C5+(C5*'Table 5'!$F$19)</f>
        <v>2.0715893978721507</v>
      </c>
      <c r="D6" s="196">
        <f>D5-(D5*'Table 5'!$F$16)</f>
        <v>0.998001</v>
      </c>
      <c r="E6" s="196">
        <f>E5-(E5*'Table 3'!$B$22)</f>
        <v>0.990025</v>
      </c>
      <c r="F6" s="202">
        <f>F5-(F5*'Table 3'!$B$22)</f>
        <v>1437.2140193434257</v>
      </c>
      <c r="G6" s="55">
        <f t="shared" si="1"/>
        <v>2.0550333052054817</v>
      </c>
      <c r="H6" s="55">
        <f t="shared" si="2"/>
        <v>2.3233815663664155</v>
      </c>
      <c r="I6" s="196">
        <f>1/(1+'Table 5'!$B$5)^B6</f>
        <v>0.8814937362685866</v>
      </c>
      <c r="J6" s="55">
        <f t="shared" si="3"/>
        <v>1.8114989863619628</v>
      </c>
      <c r="K6" s="55">
        <f t="shared" si="4"/>
        <v>2.048046297713893</v>
      </c>
      <c r="L6" s="200">
        <f t="shared" si="5"/>
        <v>0.0014413924231121346</v>
      </c>
      <c r="M6" s="153">
        <f t="shared" si="0"/>
        <v>0.0016165870462548264</v>
      </c>
    </row>
    <row r="7" spans="1:13" ht="15">
      <c r="A7" s="32">
        <v>2017</v>
      </c>
      <c r="B7" s="32">
        <v>3</v>
      </c>
      <c r="C7" s="118">
        <f>C6+(C6*'Table 5'!$F$19)</f>
        <v>2.1059777818768284</v>
      </c>
      <c r="D7" s="196">
        <f>D6-(D6*'Table 5'!$F$16)</f>
        <v>0.997002999</v>
      </c>
      <c r="E7" s="196">
        <f>E6-(E6*'Table 3'!$B$22)</f>
        <v>0.985074875</v>
      </c>
      <c r="F7" s="202">
        <f>F6-(F6*'Table 3'!$B$22)</f>
        <v>1430.0279492467084</v>
      </c>
      <c r="G7" s="55">
        <f t="shared" si="1"/>
        <v>2.0807819056872203</v>
      </c>
      <c r="H7" s="55">
        <f t="shared" si="2"/>
        <v>2.311764658534583</v>
      </c>
      <c r="I7" s="196">
        <f>1/(1+'Table 5'!$B$5)^B7</f>
        <v>0.8276159386617093</v>
      </c>
      <c r="J7" s="55">
        <f t="shared" si="3"/>
        <v>1.7220882700256293</v>
      </c>
      <c r="K7" s="55">
        <f t="shared" si="4"/>
        <v>1.9132532778380649</v>
      </c>
      <c r="L7" s="200">
        <f t="shared" si="5"/>
        <v>0.0014726829520962776</v>
      </c>
      <c r="M7" s="153">
        <f t="shared" si="0"/>
        <v>0.0016165870462548264</v>
      </c>
    </row>
    <row r="8" spans="1:13" ht="15">
      <c r="A8" s="32">
        <v>2018</v>
      </c>
      <c r="B8" s="32">
        <v>4</v>
      </c>
      <c r="C8" s="118">
        <f>C7+(C7*'Table 5'!$F$19)</f>
        <v>2.140937013055984</v>
      </c>
      <c r="D8" s="196">
        <f>D7-(D7*'Table 5'!$F$16)</f>
        <v>0.996005996001</v>
      </c>
      <c r="E8" s="196">
        <f>E7-(E7*'Table 3'!$B$22)</f>
        <v>0.9801495006250001</v>
      </c>
      <c r="F8" s="202">
        <f>F7-(F7*'Table 3'!$B$22)</f>
        <v>1422.877809500475</v>
      </c>
      <c r="G8" s="55">
        <f t="shared" si="1"/>
        <v>2.1068531240190396</v>
      </c>
      <c r="H8" s="55">
        <f t="shared" si="2"/>
        <v>2.3002058352419104</v>
      </c>
      <c r="I8" s="196">
        <f>1/(1+'Table 5'!$B$5)^B8</f>
        <v>0.7770312070807525</v>
      </c>
      <c r="J8" s="55">
        <f t="shared" si="3"/>
        <v>1.6370906260983686</v>
      </c>
      <c r="K8" s="55">
        <f t="shared" si="4"/>
        <v>1.787331716692212</v>
      </c>
      <c r="L8" s="200">
        <f t="shared" si="5"/>
        <v>0.0015046527528654028</v>
      </c>
      <c r="M8" s="153">
        <f t="shared" si="0"/>
        <v>0.0016165870462548264</v>
      </c>
    </row>
    <row r="9" spans="1:13" ht="15">
      <c r="A9" s="32">
        <v>2019</v>
      </c>
      <c r="B9" s="32">
        <v>5</v>
      </c>
      <c r="C9" s="118">
        <f>C8+(C8*'Table 5'!$F$19)</f>
        <v>2.1764765674727133</v>
      </c>
      <c r="D9" s="196">
        <f>D8-(D8*'Table 5'!$F$16)</f>
        <v>0.995009990004999</v>
      </c>
      <c r="E9" s="196">
        <f>E8-(E8*'Table 3'!$B$22)</f>
        <v>0.9752487531218751</v>
      </c>
      <c r="F9" s="202">
        <f>F8-(F8*'Table 3'!$B$22)</f>
        <v>1415.7634204529727</v>
      </c>
      <c r="G9" s="55">
        <f t="shared" si="1"/>
        <v>2.133251002450818</v>
      </c>
      <c r="H9" s="55">
        <f t="shared" si="2"/>
        <v>2.288704806065701</v>
      </c>
      <c r="I9" s="196">
        <f>1/(1+'Table 5'!$B$5)^B9</f>
        <v>0.7295382659663435</v>
      </c>
      <c r="J9" s="55">
        <f t="shared" si="3"/>
        <v>1.5562882371989337</v>
      </c>
      <c r="K9" s="55">
        <f t="shared" si="4"/>
        <v>1.669697735526008</v>
      </c>
      <c r="L9" s="200">
        <f t="shared" si="5"/>
        <v>0.0015373165714200688</v>
      </c>
      <c r="M9" s="153">
        <f t="shared" si="0"/>
        <v>0.0016165870462548264</v>
      </c>
    </row>
    <row r="10" spans="1:13" ht="15">
      <c r="A10" s="32">
        <v>2020</v>
      </c>
      <c r="B10" s="32">
        <v>6</v>
      </c>
      <c r="C10" s="118">
        <f>C9+(C9*'Table 5'!$F$19)</f>
        <v>2.2126060784927604</v>
      </c>
      <c r="D10" s="196">
        <f>D9-(D9*'Table 5'!$F$16)</f>
        <v>0.994014980014994</v>
      </c>
      <c r="E10" s="196">
        <f>E9-(E9*'Table 3'!$B$22)</f>
        <v>0.9703725093562657</v>
      </c>
      <c r="F10" s="202">
        <f>F9-(F9*'Table 3'!$B$22)</f>
        <v>1408.684603350708</v>
      </c>
      <c r="G10" s="55">
        <f t="shared" si="1"/>
        <v>2.159979633879924</v>
      </c>
      <c r="H10" s="55">
        <f t="shared" si="2"/>
        <v>2.2772612820353726</v>
      </c>
      <c r="I10" s="196">
        <f>1/(1+'Table 5'!$B$5)^B10</f>
        <v>0.6849481419269022</v>
      </c>
      <c r="J10" s="55">
        <f t="shared" si="3"/>
        <v>1.4794740368260044</v>
      </c>
      <c r="K10" s="55">
        <f t="shared" si="4"/>
        <v>1.5598058838122038</v>
      </c>
      <c r="L10" s="200">
        <f t="shared" si="5"/>
        <v>0.001570689473875017</v>
      </c>
      <c r="M10" s="153">
        <f t="shared" si="0"/>
        <v>0.0016165870462548264</v>
      </c>
    </row>
    <row r="11" spans="1:13" ht="15">
      <c r="A11" s="32">
        <v>2021</v>
      </c>
      <c r="B11" s="32">
        <v>7</v>
      </c>
      <c r="C11" s="118">
        <f>C10+(C10*'Table 5'!$F$19)</f>
        <v>2.2493353393957403</v>
      </c>
      <c r="D11" s="196">
        <f>D10-(D10*'Table 5'!$F$16)</f>
        <v>0.993020965034979</v>
      </c>
      <c r="E11" s="196">
        <f>E10-(E10*'Table 3'!$B$22)</f>
        <v>0.9655206468094844</v>
      </c>
      <c r="F11" s="202">
        <f>F10-(F10*'Table 3'!$B$22)</f>
        <v>1401.6411803339543</v>
      </c>
      <c r="G11" s="55">
        <f t="shared" si="1"/>
        <v>2.1870431624858044</v>
      </c>
      <c r="H11" s="55">
        <f t="shared" si="2"/>
        <v>2.2658749756251955</v>
      </c>
      <c r="I11" s="196">
        <f>1/(1+'Table 5'!$B$5)^B11</f>
        <v>0.643083411817578</v>
      </c>
      <c r="J11" s="55">
        <f t="shared" si="3"/>
        <v>1.4064511787236766</v>
      </c>
      <c r="K11" s="55">
        <f t="shared" si="4"/>
        <v>1.457146610077122</v>
      </c>
      <c r="L11" s="200">
        <f t="shared" si="5"/>
        <v>0.0016047868534083843</v>
      </c>
      <c r="M11" s="153">
        <f t="shared" si="0"/>
        <v>0.0016165870462548264</v>
      </c>
    </row>
    <row r="12" spans="1:13" ht="15">
      <c r="A12" s="32">
        <v>2022</v>
      </c>
      <c r="B12" s="32">
        <v>8</v>
      </c>
      <c r="C12" s="118">
        <f>C11+(C11*'Table 5'!$F$19)</f>
        <v>2.2866743060297097</v>
      </c>
      <c r="D12" s="196">
        <f>D11-(D11*'Table 5'!$F$16)</f>
        <v>0.9920279440699441</v>
      </c>
      <c r="E12" s="196">
        <f>E11-(E11*'Table 3'!$B$22)</f>
        <v>0.960693043575437</v>
      </c>
      <c r="F12" s="202">
        <f>F11-(F11*'Table 3'!$B$22)</f>
        <v>1394.6329744322845</v>
      </c>
      <c r="G12" s="55">
        <f t="shared" si="1"/>
        <v>2.214445784372526</v>
      </c>
      <c r="H12" s="55">
        <f t="shared" si="2"/>
        <v>2.2545456007470697</v>
      </c>
      <c r="I12" s="196">
        <f>1/(1+'Table 5'!$B$5)^B12</f>
        <v>0.6037774967773711</v>
      </c>
      <c r="J12" s="55">
        <f t="shared" si="3"/>
        <v>1.337032532437646</v>
      </c>
      <c r="K12" s="55">
        <f t="shared" si="4"/>
        <v>1.3612438991895002</v>
      </c>
      <c r="L12" s="200">
        <f t="shared" si="5"/>
        <v>0.0016396244373617723</v>
      </c>
      <c r="M12" s="153">
        <f t="shared" si="0"/>
        <v>0.0016165870462548264</v>
      </c>
    </row>
    <row r="13" spans="1:13" ht="15">
      <c r="A13" s="32">
        <v>2023</v>
      </c>
      <c r="B13" s="32">
        <v>9</v>
      </c>
      <c r="C13" s="118">
        <f>C12+(C12*'Table 5'!$F$19)</f>
        <v>2.324633099509803</v>
      </c>
      <c r="D13" s="196">
        <f>D12-(D12*'Table 5'!$F$16)</f>
        <v>0.9910359161258742</v>
      </c>
      <c r="E13" s="196">
        <f>E12-(E12*'Table 3'!$B$22)</f>
        <v>0.9558895783575597</v>
      </c>
      <c r="F13" s="202">
        <f>F12-(F12*'Table 3'!$B$22)</f>
        <v>1387.659809560123</v>
      </c>
      <c r="G13" s="55">
        <f t="shared" si="1"/>
        <v>2.242191748219364</v>
      </c>
      <c r="H13" s="55">
        <f t="shared" si="2"/>
        <v>2.243272872743334</v>
      </c>
      <c r="I13" s="196">
        <f>1/(1+'Table 5'!$B$5)^B13</f>
        <v>0.5668739994154269</v>
      </c>
      <c r="J13" s="55">
        <f t="shared" si="3"/>
        <v>1.2710402037693787</v>
      </c>
      <c r="K13" s="55">
        <f t="shared" si="4"/>
        <v>1.2716530651521478</v>
      </c>
      <c r="L13" s="200">
        <f t="shared" si="5"/>
        <v>0.0016752182944944503</v>
      </c>
      <c r="M13" s="153">
        <f t="shared" si="0"/>
        <v>0.0016165870462548264</v>
      </c>
    </row>
    <row r="14" spans="1:13" ht="15">
      <c r="A14" s="32">
        <v>2024</v>
      </c>
      <c r="B14" s="32">
        <v>10</v>
      </c>
      <c r="C14" s="118">
        <f>C13+(C13*'Table 5'!$F$19)</f>
        <v>2.3632220089616656</v>
      </c>
      <c r="D14" s="196">
        <f>D13-(D13*'Table 5'!$F$16)</f>
        <v>0.9900448802097482</v>
      </c>
      <c r="E14" s="196">
        <f>E13-(E13*'Table 3'!$B$22)</f>
        <v>0.951110130465772</v>
      </c>
      <c r="F14" s="202">
        <f>F13-(F13*'Table 3'!$B$22)</f>
        <v>1380.7215105123223</v>
      </c>
      <c r="G14" s="55">
        <f t="shared" si="1"/>
        <v>2.270285355939546</v>
      </c>
      <c r="H14" s="55">
        <f t="shared" si="2"/>
        <v>2.2320565083796176</v>
      </c>
      <c r="I14" s="196">
        <f>1/(1+'Table 5'!$B$5)^B14</f>
        <v>0.5322260815091794</v>
      </c>
      <c r="J14" s="55">
        <f t="shared" si="3"/>
        <v>1.2083050788993772</v>
      </c>
      <c r="K14" s="55">
        <f t="shared" si="4"/>
        <v>1.1879586891619447</v>
      </c>
      <c r="L14" s="200">
        <f t="shared" si="5"/>
        <v>0.0017115848423950334</v>
      </c>
      <c r="M14" s="153">
        <f t="shared" si="0"/>
        <v>0.0016165870462548264</v>
      </c>
    </row>
    <row r="15" spans="1:13" ht="15">
      <c r="A15" s="32">
        <v>2025</v>
      </c>
      <c r="B15" s="32">
        <v>11</v>
      </c>
      <c r="C15" s="118">
        <f>C14+(C14*'Table 5'!$F$19)</f>
        <v>2.402451494310429</v>
      </c>
      <c r="D15" s="196">
        <f>D14-(D14*'Table 5'!$F$16)</f>
        <v>0.9890548353295385</v>
      </c>
      <c r="E15" s="196">
        <f>E14-(E14*'Table 3'!$B$22)</f>
        <v>0.9463545798134431</v>
      </c>
      <c r="F15" s="202">
        <f>F14-(F14*'Table 3'!$B$22)</f>
        <v>1373.8179029597607</v>
      </c>
      <c r="G15" s="55">
        <f t="shared" si="1"/>
        <v>2.298730963347249</v>
      </c>
      <c r="H15" s="55">
        <f t="shared" si="2"/>
        <v>2.2208962258377194</v>
      </c>
      <c r="I15" s="196">
        <f>1/(1+'Table 5'!$B$5)^B15</f>
        <v>0.49969587973822116</v>
      </c>
      <c r="J15" s="55">
        <f t="shared" si="3"/>
        <v>1.1486663910112922</v>
      </c>
      <c r="K15" s="55">
        <f t="shared" si="4"/>
        <v>1.1097726933772742</v>
      </c>
      <c r="L15" s="200">
        <f t="shared" si="5"/>
        <v>0.0017487408550540611</v>
      </c>
      <c r="M15" s="153">
        <f t="shared" si="0"/>
        <v>0.0016165870462548264</v>
      </c>
    </row>
    <row r="16" spans="1:13" ht="15">
      <c r="A16" s="32">
        <v>2026</v>
      </c>
      <c r="B16" s="32">
        <v>12</v>
      </c>
      <c r="C16" s="118">
        <f>C15+(C15*'Table 5'!$F$19)</f>
        <v>2.4423321891159824</v>
      </c>
      <c r="D16" s="196">
        <f>D15-(D15*'Table 5'!$F$16)</f>
        <v>0.988065780494209</v>
      </c>
      <c r="E16" s="196">
        <f>E15-(E15*'Table 3'!$B$22)</f>
        <v>0.9416228069143758</v>
      </c>
      <c r="F16" s="202">
        <f>F15-(F15*'Table 3'!$B$22)</f>
        <v>1366.9488134449618</v>
      </c>
      <c r="G16" s="55">
        <f t="shared" si="1"/>
        <v>2.3275329808329523</v>
      </c>
      <c r="H16" s="55">
        <f t="shared" si="2"/>
        <v>2.2097917447085305</v>
      </c>
      <c r="I16" s="196">
        <f>1/(1+'Table 5'!$B$5)^B16</f>
        <v>0.46915395712911584</v>
      </c>
      <c r="J16" s="55">
        <f t="shared" si="3"/>
        <v>1.091971308306306</v>
      </c>
      <c r="K16" s="55">
        <f t="shared" si="4"/>
        <v>1.03673254146126</v>
      </c>
      <c r="L16" s="200">
        <f t="shared" si="5"/>
        <v>0.0017867034706009635</v>
      </c>
      <c r="M16" s="153">
        <f t="shared" si="0"/>
        <v>0.0016165870462548264</v>
      </c>
    </row>
    <row r="17" spans="1:13" ht="15">
      <c r="A17" s="32">
        <v>2027</v>
      </c>
      <c r="B17" s="32">
        <v>13</v>
      </c>
      <c r="C17" s="118">
        <f>C16+(C16*'Table 5'!$F$19)</f>
        <v>2.4828749034553077</v>
      </c>
      <c r="D17" s="196">
        <f>D16-(D16*'Table 5'!$F$16)</f>
        <v>0.9870777147137147</v>
      </c>
      <c r="E17" s="196">
        <f>E16-(E16*'Table 3'!$B$22)</f>
        <v>0.936914692879804</v>
      </c>
      <c r="F17" s="202">
        <f>F16-(F16*'Table 3'!$B$22)</f>
        <v>1360.114069377737</v>
      </c>
      <c r="G17" s="55">
        <f t="shared" si="1"/>
        <v>2.3566958740472526</v>
      </c>
      <c r="H17" s="55">
        <f t="shared" si="2"/>
        <v>2.198742785984988</v>
      </c>
      <c r="I17" s="196">
        <f>1/(1+'Table 5'!$B$5)^B17</f>
        <v>0.4404787880284629</v>
      </c>
      <c r="J17" s="55">
        <f t="shared" si="3"/>
        <v>1.0380745423520128</v>
      </c>
      <c r="K17" s="55">
        <f t="shared" si="4"/>
        <v>0.9684995575569935</v>
      </c>
      <c r="L17" s="200">
        <f>C17/F17</f>
        <v>0.0018254901992089845</v>
      </c>
      <c r="M17" s="153">
        <f t="shared" si="0"/>
        <v>0.0016165870462548264</v>
      </c>
    </row>
    <row r="18" spans="1:13" ht="15">
      <c r="A18" s="32">
        <v>2028</v>
      </c>
      <c r="B18" s="32">
        <v>14</v>
      </c>
      <c r="C18" s="118">
        <f>C17+(C17*'Table 5'!$F$19)</f>
        <v>2.524090626852666</v>
      </c>
      <c r="D18" s="196">
        <f>D17-(D17*'Table 5'!$F$16)</f>
        <v>0.986090636999001</v>
      </c>
      <c r="E18" s="196">
        <f>E17-(E17*'Table 3'!$B$22)</f>
        <v>0.932230119415405</v>
      </c>
      <c r="F18" s="202">
        <f>F17-(F17*'Table 3'!$B$22)</f>
        <v>1353.3134990308483</v>
      </c>
      <c r="G18" s="55">
        <f t="shared" si="1"/>
        <v>2.3862241645932483</v>
      </c>
      <c r="H18" s="55">
        <f t="shared" si="2"/>
        <v>2.187749072055063</v>
      </c>
      <c r="I18" s="196">
        <f>1/(1+'Table 5'!$B$5)^B18</f>
        <v>0.41355627455493654</v>
      </c>
      <c r="J18" s="55">
        <f t="shared" si="3"/>
        <v>0.9868379757621495</v>
      </c>
      <c r="K18" s="55">
        <f t="shared" si="4"/>
        <v>0.9047573559001113</v>
      </c>
      <c r="L18" s="200">
        <f t="shared" si="5"/>
        <v>0.0018651189311717122</v>
      </c>
      <c r="M18" s="153">
        <f t="shared" si="0"/>
        <v>0.0016165870462548264</v>
      </c>
    </row>
    <row r="19" spans="1:13" ht="15">
      <c r="A19" s="32">
        <v>2029</v>
      </c>
      <c r="B19" s="32">
        <v>15</v>
      </c>
      <c r="C19" s="118">
        <f>C18+(C18*'Table 5'!$F$19)</f>
        <v>2.56599053125842</v>
      </c>
      <c r="D19" s="196">
        <f>D18-(D18*'Table 5'!$F$16)</f>
        <v>0.9851045463620021</v>
      </c>
      <c r="E19" s="196">
        <f>E18-(E18*'Table 3'!$B$22)</f>
        <v>0.927568968818328</v>
      </c>
      <c r="F19" s="202">
        <f>F18-(F18*'Table 3'!$B$22)</f>
        <v>1346.546931535694</v>
      </c>
      <c r="G19" s="55">
        <f t="shared" si="1"/>
        <v>2.416122430727596</v>
      </c>
      <c r="H19" s="55">
        <f t="shared" si="2"/>
        <v>2.176810326694788</v>
      </c>
      <c r="I19" s="196">
        <f>1/(1+'Table 5'!$B$5)^B19</f>
        <v>0.3882792926062686</v>
      </c>
      <c r="J19" s="55">
        <f t="shared" si="3"/>
        <v>0.9381303082530491</v>
      </c>
      <c r="K19" s="55">
        <f t="shared" si="4"/>
        <v>0.8452103737870726</v>
      </c>
      <c r="L19" s="200">
        <f t="shared" si="5"/>
        <v>0.0019056079451549373</v>
      </c>
      <c r="M19" s="153">
        <f t="shared" si="0"/>
        <v>0.0016165870462548264</v>
      </c>
    </row>
    <row r="20" spans="1:13" ht="15">
      <c r="A20" s="32">
        <v>2030</v>
      </c>
      <c r="B20" s="32">
        <v>16</v>
      </c>
      <c r="C20" s="118">
        <f>C19+(C19*'Table 5'!$F$19)</f>
        <v>2.60858597407731</v>
      </c>
      <c r="D20" s="196">
        <f>D19-(D19*'Table 5'!$F$16)</f>
        <v>0.98411944181564</v>
      </c>
      <c r="E20" s="196">
        <f>E19-(E19*'Table 3'!$B$22)</f>
        <v>0.9229311239742363</v>
      </c>
      <c r="F20" s="202">
        <f>F19-(F19*'Table 3'!$B$22)</f>
        <v>1339.8141968780155</v>
      </c>
      <c r="G20" s="55">
        <f t="shared" si="1"/>
        <v>2.446395308070356</v>
      </c>
      <c r="H20" s="55">
        <f t="shared" si="2"/>
        <v>2.1659262750613135</v>
      </c>
      <c r="I20" s="196">
        <f>1/(1+'Table 5'!$B$5)^B20</f>
        <v>0.36454726561474843</v>
      </c>
      <c r="J20" s="55">
        <f t="shared" si="3"/>
        <v>0.8918267201697985</v>
      </c>
      <c r="K20" s="55">
        <f t="shared" si="4"/>
        <v>0.7895825010967393</v>
      </c>
      <c r="L20" s="200">
        <f t="shared" si="5"/>
        <v>0.0019469759166276478</v>
      </c>
      <c r="M20" s="153">
        <f t="shared" si="0"/>
        <v>0.0016165870462548264</v>
      </c>
    </row>
    <row r="21" spans="1:13" ht="15">
      <c r="A21" s="32">
        <v>2031</v>
      </c>
      <c r="B21" s="32">
        <v>17</v>
      </c>
      <c r="C21" s="118">
        <f>C20+(C20*'Table 5'!$F$19)</f>
        <v>2.6518885012469933</v>
      </c>
      <c r="D21" s="196">
        <f>D20-(D20*'Table 5'!$F$16)</f>
        <v>0.9831353223738244</v>
      </c>
      <c r="E21" s="196">
        <f>E20-(E20*'Table 3'!$B$22)</f>
        <v>0.9183164683543651</v>
      </c>
      <c r="F21" s="202">
        <f>F20-(F20*'Table 3'!$B$22)</f>
        <v>1333.1151258936254</v>
      </c>
      <c r="G21" s="55">
        <f t="shared" si="1"/>
        <v>2.4770474903237263</v>
      </c>
      <c r="H21" s="55">
        <f t="shared" si="2"/>
        <v>2.155096643686007</v>
      </c>
      <c r="I21" s="196">
        <f>1/(1+'Table 5'!$B$5)^B21</f>
        <v>0.34226576435522343</v>
      </c>
      <c r="J21" s="55">
        <f t="shared" si="3"/>
        <v>0.8478085526198381</v>
      </c>
      <c r="K21" s="55">
        <f t="shared" si="4"/>
        <v>0.7376158000105678</v>
      </c>
      <c r="L21" s="200">
        <f t="shared" si="5"/>
        <v>0.001989241926476047</v>
      </c>
      <c r="M21" s="153">
        <f t="shared" si="0"/>
        <v>0.0016165870462548264</v>
      </c>
    </row>
    <row r="22" spans="1:13" ht="15">
      <c r="A22" s="32">
        <v>2032</v>
      </c>
      <c r="B22" s="32">
        <v>18</v>
      </c>
      <c r="C22" s="118">
        <f>C21+(C21*'Table 5'!$F$19)</f>
        <v>2.6959098503676935</v>
      </c>
      <c r="D22" s="196">
        <f>D21-(D21*'Table 5'!$F$16)</f>
        <v>0.9821521870514506</v>
      </c>
      <c r="E22" s="196">
        <f>E21-(E21*'Table 3'!$B$22)</f>
        <v>0.9137248860125933</v>
      </c>
      <c r="F22" s="202">
        <f>F21-(F21*'Table 3'!$B$22)</f>
        <v>1326.4495502641573</v>
      </c>
      <c r="G22" s="55">
        <f t="shared" si="1"/>
        <v>2.5080837299997847</v>
      </c>
      <c r="H22" s="55">
        <f t="shared" si="2"/>
        <v>2.144321160467577</v>
      </c>
      <c r="I22" s="196">
        <f>1/(1+'Table 5'!$B$5)^B22</f>
        <v>0.3213461312132414</v>
      </c>
      <c r="J22" s="55">
        <f t="shared" si="3"/>
        <v>0.8059630033943067</v>
      </c>
      <c r="K22" s="55">
        <f t="shared" si="4"/>
        <v>0.6890693089949441</v>
      </c>
      <c r="L22" s="200">
        <f t="shared" si="5"/>
        <v>0.002032425469804572</v>
      </c>
      <c r="M22" s="153">
        <f t="shared" si="0"/>
        <v>0.0016165870462548264</v>
      </c>
    </row>
    <row r="23" spans="1:13" ht="15">
      <c r="A23" s="32">
        <v>2033</v>
      </c>
      <c r="B23" s="32">
        <v>19</v>
      </c>
      <c r="C23" s="118">
        <f>C22+(C22*'Table 5'!$F$19)</f>
        <v>2.740661953883797</v>
      </c>
      <c r="D23" s="196">
        <f>D22-(D22*'Table 5'!$F$16)</f>
        <v>0.9811700348643991</v>
      </c>
      <c r="E23" s="196">
        <f>E22-(E22*'Table 3'!$B$22)</f>
        <v>0.9091562615825303</v>
      </c>
      <c r="F23" s="202">
        <f>F22-(F22*'Table 3'!$B$22)</f>
        <v>1319.8173025128365</v>
      </c>
      <c r="G23" s="55">
        <f t="shared" si="1"/>
        <v>2.539508839157349</v>
      </c>
      <c r="H23" s="55">
        <f t="shared" si="2"/>
        <v>2.133599554665239</v>
      </c>
      <c r="I23" s="196">
        <f>1/(1+'Table 5'!$B$5)^B23</f>
        <v>0.3017051274183095</v>
      </c>
      <c r="J23" s="55">
        <f t="shared" si="3"/>
        <v>0.7661828378978913</v>
      </c>
      <c r="K23" s="55">
        <f t="shared" si="4"/>
        <v>0.6437179254999243</v>
      </c>
      <c r="L23" s="200">
        <f t="shared" si="5"/>
        <v>0.002076546464927968</v>
      </c>
      <c r="M23" s="153">
        <f t="shared" si="0"/>
        <v>0.0016165870462548264</v>
      </c>
    </row>
    <row r="24" spans="1:13" ht="15">
      <c r="A24" s="32">
        <v>2034</v>
      </c>
      <c r="B24" s="32">
        <v>20</v>
      </c>
      <c r="C24" s="118">
        <f>C23+(C23*'Table 5'!$F$19)</f>
        <v>2.786156942318268</v>
      </c>
      <c r="D24" s="196">
        <f>D23-(D23*'Table 5'!$F$16)</f>
        <v>0.9801888648295347</v>
      </c>
      <c r="E24" s="196">
        <f>E23-(E23*'Table 3'!$B$22)</f>
        <v>0.9046104802746177</v>
      </c>
      <c r="F24" s="202">
        <f>F23-(F23*'Table 3'!$B$22)</f>
        <v>1313.2182160002724</v>
      </c>
      <c r="G24" s="55">
        <f t="shared" si="1"/>
        <v>2.571327690148072</v>
      </c>
      <c r="H24" s="55">
        <f t="shared" si="2"/>
        <v>2.122931556891913</v>
      </c>
      <c r="I24" s="196">
        <f>1/(1+'Table 5'!$B$5)^B24</f>
        <v>0.2832646018386156</v>
      </c>
      <c r="J24" s="55">
        <f t="shared" si="3"/>
        <v>0.7283661143464009</v>
      </c>
      <c r="K24" s="55">
        <f t="shared" si="4"/>
        <v>0.6013513621936201</v>
      </c>
      <c r="L24" s="200">
        <f t="shared" si="5"/>
        <v>0.002121625262558565</v>
      </c>
      <c r="M24" s="153">
        <f t="shared" si="0"/>
        <v>0.0016165870462548264</v>
      </c>
    </row>
    <row r="25" spans="1:13" ht="15">
      <c r="A25" s="32">
        <v>2035</v>
      </c>
      <c r="B25" s="32">
        <v>21</v>
      </c>
      <c r="C25" s="118">
        <f>C24+(C24*'Table 5'!$F$19)</f>
        <v>2.832407147560751</v>
      </c>
      <c r="D25" s="196">
        <f>D24-(D24*'Table 5'!$F$16)</f>
        <v>0.9792086759647052</v>
      </c>
      <c r="E25" s="196">
        <f>E24-(E24*'Table 3'!$B$22)</f>
        <v>0.9000874278732446</v>
      </c>
      <c r="F25" s="202">
        <f>F24-(F24*'Table 3'!$B$22)</f>
        <v>1306.652124920271</v>
      </c>
      <c r="G25" s="55">
        <f t="shared" si="1"/>
        <v>2.6035452163718795</v>
      </c>
      <c r="H25" s="55">
        <f t="shared" si="2"/>
        <v>2.1123168991074532</v>
      </c>
      <c r="I25" s="196">
        <f>1/(1+'Table 5'!$B$5)^B25</f>
        <v>0.2659511800193556</v>
      </c>
      <c r="J25" s="55">
        <f t="shared" si="3"/>
        <v>0.6924159225278498</v>
      </c>
      <c r="K25" s="55">
        <f t="shared" si="4"/>
        <v>0.5617731718924532</v>
      </c>
      <c r="L25" s="200">
        <f t="shared" si="5"/>
        <v>0.002167682655193002</v>
      </c>
      <c r="M25" s="153">
        <f t="shared" si="0"/>
        <v>0.0016165870462548264</v>
      </c>
    </row>
    <row r="26" spans="1:13" ht="15">
      <c r="A26" s="32">
        <v>2036</v>
      </c>
      <c r="B26" s="32">
        <v>22</v>
      </c>
      <c r="C26" s="118">
        <f>C25+(C25*'Table 5'!$F$19)</f>
        <v>2.8794251062102596</v>
      </c>
      <c r="D26" s="196">
        <f>D25-(D25*'Table 5'!$F$16)</f>
        <v>0.9782294672887405</v>
      </c>
      <c r="E26" s="196">
        <f>E25-(E25*'Table 3'!$B$22)</f>
        <v>0.8955869907338784</v>
      </c>
      <c r="F26" s="202">
        <f>F25-(F25*'Table 3'!$B$22)</f>
        <v>1300.1188642956697</v>
      </c>
      <c r="G26" s="55">
        <f t="shared" si="1"/>
        <v>2.636166413041876</v>
      </c>
      <c r="H26" s="55">
        <f t="shared" si="2"/>
        <v>2.1017553146119163</v>
      </c>
      <c r="I26" s="196">
        <f>1/(1+'Table 5'!$B$5)^B26</f>
        <v>0.24969597222735485</v>
      </c>
      <c r="J26" s="55">
        <f t="shared" si="3"/>
        <v>0.65824013545759</v>
      </c>
      <c r="K26" s="55">
        <f t="shared" si="4"/>
        <v>0.5247998366660325</v>
      </c>
      <c r="L26" s="200">
        <f t="shared" si="5"/>
        <v>0.0022147398867027194</v>
      </c>
      <c r="M26" s="153">
        <f t="shared" si="0"/>
        <v>0.0016165870462548264</v>
      </c>
    </row>
    <row r="27" spans="1:13" ht="15">
      <c r="A27" s="32">
        <v>2037</v>
      </c>
      <c r="B27" s="32">
        <v>23</v>
      </c>
      <c r="C27" s="118">
        <f>C26+(C26*'Table 5'!$F$19)</f>
        <v>2.92722356297335</v>
      </c>
      <c r="D27" s="196">
        <f>D26-(D26*'Table 5'!$F$16)</f>
        <v>0.9772512378214517</v>
      </c>
      <c r="E27" s="196">
        <f>E26-(E26*'Table 3'!$B$22)</f>
        <v>0.8911090557802089</v>
      </c>
      <c r="F27" s="202">
        <f>F26-(F26*'Table 3'!$B$22)</f>
        <v>1293.6182699741914</v>
      </c>
      <c r="G27" s="55">
        <f t="shared" si="1"/>
        <v>2.6691963379588386</v>
      </c>
      <c r="H27" s="55">
        <f t="shared" si="2"/>
        <v>2.0912465380388565</v>
      </c>
      <c r="I27" s="196">
        <f>1/(1+'Table 5'!$B$5)^B27</f>
        <v>0.23443429934030127</v>
      </c>
      <c r="J27" s="55">
        <f t="shared" si="3"/>
        <v>0.6257511732910783</v>
      </c>
      <c r="K27" s="55">
        <f t="shared" si="4"/>
        <v>0.49025991689297</v>
      </c>
      <c r="L27" s="200">
        <f t="shared" si="5"/>
        <v>0.0022628186621326475</v>
      </c>
      <c r="M27" s="153">
        <f t="shared" si="0"/>
        <v>0.0016165870462548264</v>
      </c>
    </row>
    <row r="28" spans="1:13" ht="15" thickBot="1">
      <c r="A28" s="32">
        <v>2038</v>
      </c>
      <c r="B28" s="32">
        <v>24</v>
      </c>
      <c r="C28" s="55">
        <f aca="true" t="shared" si="6" ref="C28">C27+(C27*0.02)</f>
        <v>2.985768034232817</v>
      </c>
      <c r="D28" s="196">
        <f>D27-(D27*'Table 5'!$F$16)</f>
        <v>0.9762739865836303</v>
      </c>
      <c r="E28" s="196">
        <f>E27-(E27*'Table 3'!$B$22)</f>
        <v>0.8866535105013079</v>
      </c>
      <c r="F28" s="202">
        <f>F27-(F27*'Table 3'!$B$22)</f>
        <v>1287.1501786243205</v>
      </c>
      <c r="G28" s="55">
        <f t="shared" si="1"/>
        <v>2.7116790424368618</v>
      </c>
      <c r="H28" s="69">
        <f t="shared" si="2"/>
        <v>2.0807903053486623</v>
      </c>
      <c r="I28" s="196">
        <f>1/(1+'Table 5'!$B$5)^B28</f>
        <v>0.2201054354899082</v>
      </c>
      <c r="J28" s="69">
        <f t="shared" si="3"/>
        <v>0.5968552965444227</v>
      </c>
      <c r="K28" s="69">
        <f t="shared" si="4"/>
        <v>0.4579932563219464</v>
      </c>
      <c r="L28" s="200">
        <f t="shared" si="5"/>
        <v>0.0023196734023872368</v>
      </c>
      <c r="M28" s="153">
        <f t="shared" si="0"/>
        <v>0.0016165870462548264</v>
      </c>
    </row>
    <row r="29" spans="1:13" ht="15" thickBot="1">
      <c r="A29" s="41"/>
      <c r="B29" s="41"/>
      <c r="C29" s="42"/>
      <c r="D29" s="43"/>
      <c r="E29" s="43"/>
      <c r="G29" s="45"/>
      <c r="H29" s="46" t="s">
        <v>151</v>
      </c>
      <c r="I29" s="47"/>
      <c r="J29" s="70">
        <f>SUM(J4:J28)</f>
        <v>29.15639937210604</v>
      </c>
      <c r="K29" s="71">
        <f>SUM(K4:K28)</f>
        <v>29.156399372106037</v>
      </c>
      <c r="L29" s="64"/>
      <c r="M29" s="89"/>
    </row>
    <row r="30" spans="1:13" ht="15" thickBot="1">
      <c r="A30" s="41"/>
      <c r="B30" s="41"/>
      <c r="C30" s="42"/>
      <c r="D30" s="43"/>
      <c r="E30" s="43"/>
      <c r="F30" s="44"/>
      <c r="G30" s="42"/>
      <c r="H30" s="42"/>
      <c r="I30" s="43"/>
      <c r="J30" s="42"/>
      <c r="K30" s="42"/>
      <c r="L30" s="95"/>
      <c r="M30" s="89"/>
    </row>
    <row r="31" spans="1:13" ht="15" thickBot="1">
      <c r="A31" s="41"/>
      <c r="B31" s="41"/>
      <c r="C31" s="42"/>
      <c r="D31" s="43"/>
      <c r="E31" s="43"/>
      <c r="F31" s="91" t="s">
        <v>165</v>
      </c>
      <c r="G31" s="46"/>
      <c r="H31" s="90">
        <f>SUMPRODUCT(G4:G28,I4:I28)/SUMPRODUCT(F4:F28,I4:I28)</f>
        <v>0.0016165870462548264</v>
      </c>
      <c r="I31" s="43"/>
      <c r="J31" s="42"/>
      <c r="K31" s="42"/>
      <c r="L31" s="63"/>
      <c r="M31" s="89"/>
    </row>
    <row r="32" spans="1:13" ht="15">
      <c r="A32" s="41"/>
      <c r="B32" s="41"/>
      <c r="C32" s="42"/>
      <c r="D32" s="43"/>
      <c r="E32" s="43"/>
      <c r="F32" s="44"/>
      <c r="G32" s="42"/>
      <c r="H32" s="42"/>
      <c r="I32" s="43"/>
      <c r="J32" s="42"/>
      <c r="K32" s="42"/>
      <c r="L32" s="63"/>
      <c r="M32" s="89"/>
    </row>
    <row r="33" ht="15">
      <c r="A33" s="38" t="s">
        <v>149</v>
      </c>
    </row>
    <row r="34" spans="1:7" ht="15">
      <c r="A34" t="s">
        <v>146</v>
      </c>
      <c r="G34" t="s">
        <v>164</v>
      </c>
    </row>
    <row r="36" ht="15">
      <c r="A36" t="s">
        <v>516</v>
      </c>
    </row>
    <row r="37" spans="1:10" ht="15">
      <c r="A37" s="22" t="s">
        <v>502</v>
      </c>
      <c r="B37" s="22"/>
      <c r="C37" s="22"/>
      <c r="D37" s="22"/>
      <c r="E37" s="22"/>
      <c r="F37" s="22"/>
      <c r="G37" s="22"/>
      <c r="H37" s="22"/>
      <c r="I37" s="22"/>
      <c r="J37" s="22"/>
    </row>
    <row r="38" spans="1:10" ht="15">
      <c r="A38" s="22" t="s">
        <v>500</v>
      </c>
      <c r="B38" s="22"/>
      <c r="C38" s="22"/>
      <c r="D38" s="22"/>
      <c r="E38" s="22"/>
      <c r="F38" s="22"/>
      <c r="G38" s="22"/>
      <c r="H38" s="22"/>
      <c r="I38" s="22"/>
      <c r="J38" s="22"/>
    </row>
    <row r="39" spans="1:10" ht="15">
      <c r="A39" s="22"/>
      <c r="B39" s="22"/>
      <c r="C39" s="22"/>
      <c r="D39" s="22"/>
      <c r="E39" s="22"/>
      <c r="F39" s="22"/>
      <c r="G39" s="22"/>
      <c r="H39" s="22"/>
      <c r="I39" s="22"/>
      <c r="J39" s="22"/>
    </row>
    <row r="40" spans="1:10" ht="15">
      <c r="A40" s="22" t="s">
        <v>503</v>
      </c>
      <c r="B40" s="22"/>
      <c r="C40" s="22"/>
      <c r="D40" s="22"/>
      <c r="E40" s="22"/>
      <c r="F40" s="22"/>
      <c r="G40" s="22"/>
      <c r="H40" s="22"/>
      <c r="I40" s="22"/>
      <c r="J40" s="22"/>
    </row>
    <row r="41" spans="1:10" ht="15">
      <c r="A41" s="22" t="s">
        <v>504</v>
      </c>
      <c r="B41" s="22"/>
      <c r="C41" s="22"/>
      <c r="D41" s="22"/>
      <c r="E41" s="22"/>
      <c r="F41" s="22"/>
      <c r="G41" s="22"/>
      <c r="H41" s="22"/>
      <c r="I41" s="22"/>
      <c r="J41" s="22"/>
    </row>
    <row r="42" spans="1:10" ht="15">
      <c r="A42" s="22" t="s">
        <v>505</v>
      </c>
      <c r="B42" s="22"/>
      <c r="C42" s="22"/>
      <c r="D42" s="22"/>
      <c r="E42" s="22"/>
      <c r="F42" s="22"/>
      <c r="G42" s="22"/>
      <c r="H42" s="22"/>
      <c r="I42" s="22"/>
      <c r="J42" s="22"/>
    </row>
    <row r="43" spans="1:10" ht="15">
      <c r="A43" s="22" t="s">
        <v>506</v>
      </c>
      <c r="B43" s="22"/>
      <c r="C43" s="22"/>
      <c r="D43" s="22"/>
      <c r="E43" s="22"/>
      <c r="F43" s="22"/>
      <c r="G43" s="22"/>
      <c r="H43" s="22"/>
      <c r="I43" s="22"/>
      <c r="J43" s="22"/>
    </row>
    <row r="44" spans="1:10" ht="15">
      <c r="A44" s="22"/>
      <c r="B44" s="22"/>
      <c r="C44" s="22"/>
      <c r="D44" s="22"/>
      <c r="E44" s="22"/>
      <c r="F44" s="22"/>
      <c r="G44" s="22"/>
      <c r="H44" s="22"/>
      <c r="I44" s="22"/>
      <c r="J44" s="22"/>
    </row>
    <row r="45" spans="1:10" ht="15">
      <c r="A45" s="22" t="s">
        <v>507</v>
      </c>
      <c r="B45" s="22"/>
      <c r="C45" s="22"/>
      <c r="D45" s="22"/>
      <c r="E45" s="22"/>
      <c r="F45" s="22"/>
      <c r="G45" s="22"/>
      <c r="H45" s="22"/>
      <c r="I45" s="22"/>
      <c r="J45" s="22"/>
    </row>
    <row r="46" spans="1:10" ht="15">
      <c r="A46" s="22" t="s">
        <v>508</v>
      </c>
      <c r="B46" s="22"/>
      <c r="C46" s="22"/>
      <c r="D46" s="22"/>
      <c r="E46" s="22"/>
      <c r="F46" s="22"/>
      <c r="G46" s="22"/>
      <c r="H46" s="22"/>
      <c r="I46" s="22"/>
      <c r="J46" s="22"/>
    </row>
    <row r="47" spans="1:10" ht="15">
      <c r="A47" s="22" t="s">
        <v>509</v>
      </c>
      <c r="B47" s="22"/>
      <c r="C47" s="22"/>
      <c r="D47" s="22"/>
      <c r="E47" s="22"/>
      <c r="F47" s="22"/>
      <c r="G47" s="22"/>
      <c r="H47" s="22"/>
      <c r="I47" s="22"/>
      <c r="J47" s="22"/>
    </row>
    <row r="48" spans="1:10" ht="15">
      <c r="A48" s="22" t="s">
        <v>510</v>
      </c>
      <c r="B48" s="22"/>
      <c r="C48" s="22"/>
      <c r="D48" s="22"/>
      <c r="E48" s="22"/>
      <c r="F48" s="22"/>
      <c r="G48" s="22"/>
      <c r="H48" s="22"/>
      <c r="I48" s="22"/>
      <c r="J48" s="22"/>
    </row>
    <row r="49" spans="1:10" ht="15">
      <c r="A49" s="22"/>
      <c r="B49" s="22"/>
      <c r="C49" s="22"/>
      <c r="D49" s="22"/>
      <c r="E49" s="22"/>
      <c r="F49" s="22"/>
      <c r="G49" s="22"/>
      <c r="H49" s="22"/>
      <c r="I49" s="22"/>
      <c r="J49" s="22"/>
    </row>
    <row r="50" ht="15">
      <c r="A50" t="s">
        <v>511</v>
      </c>
    </row>
    <row r="51" ht="15">
      <c r="A51" t="s">
        <v>512</v>
      </c>
    </row>
    <row r="52" ht="15">
      <c r="A52" t="s">
        <v>513</v>
      </c>
    </row>
    <row r="54" ht="15">
      <c r="A54" t="s">
        <v>514</v>
      </c>
    </row>
    <row r="55" ht="15">
      <c r="A55" t="s">
        <v>515</v>
      </c>
    </row>
  </sheetData>
  <mergeCells count="4">
    <mergeCell ref="A2:A3"/>
    <mergeCell ref="G1:H1"/>
    <mergeCell ref="J1:K1"/>
    <mergeCell ref="L1:M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workbookViewId="0" topLeftCell="A1">
      <selection activeCell="C6" sqref="C6"/>
    </sheetView>
  </sheetViews>
  <sheetFormatPr defaultColWidth="9.140625" defaultRowHeight="15"/>
  <cols>
    <col min="3" max="4" width="11.57421875" style="0" bestFit="1" customWidth="1"/>
    <col min="5" max="5" width="12.57421875" style="0" customWidth="1"/>
    <col min="6" max="7" width="9.57421875" style="0" bestFit="1" customWidth="1"/>
    <col min="8" max="8" width="10.7109375" style="0" customWidth="1"/>
    <col min="9" max="10" width="10.57421875" style="0" bestFit="1" customWidth="1"/>
  </cols>
  <sheetData>
    <row r="2" spans="1:10" ht="15">
      <c r="A2" s="261" t="s">
        <v>518</v>
      </c>
      <c r="B2" s="261"/>
      <c r="C2" s="261"/>
      <c r="D2" s="261"/>
      <c r="E2" s="261"/>
      <c r="F2" s="261"/>
      <c r="G2" s="261"/>
      <c r="H2" s="261"/>
      <c r="I2" s="261"/>
      <c r="J2" s="261"/>
    </row>
    <row r="3" spans="1:10" ht="15">
      <c r="A3" s="6"/>
      <c r="B3" s="6"/>
      <c r="C3" s="262" t="s">
        <v>122</v>
      </c>
      <c r="D3" s="262"/>
      <c r="E3" s="6"/>
      <c r="F3" s="262" t="s">
        <v>126</v>
      </c>
      <c r="G3" s="262"/>
      <c r="H3" s="6"/>
      <c r="I3" s="262" t="s">
        <v>129</v>
      </c>
      <c r="J3" s="262"/>
    </row>
    <row r="4" spans="1:10" ht="28.8">
      <c r="A4" s="262" t="s">
        <v>39</v>
      </c>
      <c r="B4" s="37" t="s">
        <v>134</v>
      </c>
      <c r="C4" s="221" t="s">
        <v>127</v>
      </c>
      <c r="D4" s="35" t="s">
        <v>124</v>
      </c>
      <c r="E4" s="37" t="s">
        <v>125</v>
      </c>
      <c r="F4" s="35" t="s">
        <v>127</v>
      </c>
      <c r="G4" s="35" t="s">
        <v>124</v>
      </c>
      <c r="H4" s="37" t="s">
        <v>140</v>
      </c>
      <c r="I4" s="35" t="s">
        <v>127</v>
      </c>
      <c r="J4" s="35" t="s">
        <v>124</v>
      </c>
    </row>
    <row r="5" spans="1:10" ht="15">
      <c r="A5" s="262"/>
      <c r="B5" s="6"/>
      <c r="C5" s="36" t="s">
        <v>131</v>
      </c>
      <c r="D5" s="36" t="s">
        <v>131</v>
      </c>
      <c r="E5" s="36" t="s">
        <v>132</v>
      </c>
      <c r="F5" s="36" t="s">
        <v>133</v>
      </c>
      <c r="G5" s="36" t="s">
        <v>133</v>
      </c>
      <c r="H5" s="36"/>
      <c r="I5" s="36" t="s">
        <v>133</v>
      </c>
      <c r="J5" s="36" t="s">
        <v>133</v>
      </c>
    </row>
    <row r="6" spans="1:10" ht="15">
      <c r="A6" s="32">
        <v>2014</v>
      </c>
      <c r="B6" s="32">
        <v>0</v>
      </c>
      <c r="C6" s="204">
        <f>'Table 5'!F18</f>
        <v>0.00135394</v>
      </c>
      <c r="D6" s="78">
        <f>$E$34</f>
        <v>0.0015701864032859967</v>
      </c>
      <c r="E6" s="72">
        <f>'Table 5'!B15</f>
        <v>1451.69467371372</v>
      </c>
      <c r="F6" s="204">
        <f>C6*E6</f>
        <v>1.9655074865279543</v>
      </c>
      <c r="G6" s="73">
        <f>D6*E6</f>
        <v>2.2794312383879847</v>
      </c>
      <c r="H6" s="21">
        <v>1</v>
      </c>
      <c r="I6" s="73">
        <f>F6*H6</f>
        <v>1.9655074865279543</v>
      </c>
      <c r="J6" s="73">
        <f>G6*H6</f>
        <v>2.2794312383879847</v>
      </c>
    </row>
    <row r="7" spans="1:10" ht="15">
      <c r="A7" s="32">
        <v>2015</v>
      </c>
      <c r="B7" s="32">
        <v>1</v>
      </c>
      <c r="C7" s="204">
        <f>C6+(C6*'Table 5'!$F$19)</f>
        <v>0.001376415404</v>
      </c>
      <c r="D7" s="78">
        <f aca="true" t="shared" si="0" ref="D7:D30">$E$34</f>
        <v>0.0015701864032859967</v>
      </c>
      <c r="E7" s="72">
        <f>E6-(E6*'Table 3'!$B$22)</f>
        <v>1444.4362003451515</v>
      </c>
      <c r="F7" s="204">
        <f aca="true" t="shared" si="1" ref="F7:F30">C7*E7</f>
        <v>1.9881442362502968</v>
      </c>
      <c r="G7" s="73">
        <f aca="true" t="shared" si="2" ref="G7:G30">D7*E7</f>
        <v>2.2680340821960447</v>
      </c>
      <c r="H7" s="21">
        <f>1/(1+'Table 5'!$B$5)^B7</f>
        <v>0.9388789784996715</v>
      </c>
      <c r="I7" s="73">
        <f aca="true" t="shared" si="3" ref="I7:I30">F7*H7</f>
        <v>1.8666268296406883</v>
      </c>
      <c r="J7" s="73">
        <f aca="true" t="shared" si="4" ref="J7:J30">G7*H7</f>
        <v>2.1294095222946625</v>
      </c>
    </row>
    <row r="8" spans="1:10" ht="15">
      <c r="A8" s="32">
        <v>2016</v>
      </c>
      <c r="B8" s="32">
        <v>2</v>
      </c>
      <c r="C8" s="204">
        <f>C7+(C7*'Table 5'!$F$19)</f>
        <v>0.0013992638997064</v>
      </c>
      <c r="D8" s="78">
        <f t="shared" si="0"/>
        <v>0.0015701864032859967</v>
      </c>
      <c r="E8" s="203">
        <f>E7-(E7*'Table 3'!$B$22)</f>
        <v>1437.2140193434257</v>
      </c>
      <c r="F8" s="204">
        <f t="shared" si="1"/>
        <v>2.0110416934191915</v>
      </c>
      <c r="G8" s="73">
        <f t="shared" si="2"/>
        <v>2.2566939117850646</v>
      </c>
      <c r="H8" s="197">
        <f>1/(1+'Table 5'!$B$5)^B8</f>
        <v>0.8814937362685866</v>
      </c>
      <c r="I8" s="73">
        <f t="shared" si="3"/>
        <v>1.7727206561239885</v>
      </c>
      <c r="J8" s="73">
        <f t="shared" si="4"/>
        <v>1.9892615479139888</v>
      </c>
    </row>
    <row r="9" spans="1:10" ht="15">
      <c r="A9" s="32">
        <v>2017</v>
      </c>
      <c r="B9" s="32">
        <v>3</v>
      </c>
      <c r="C9" s="204">
        <f>C8+(C8*'Table 5'!$F$19)</f>
        <v>0.0014224916804415264</v>
      </c>
      <c r="D9" s="78">
        <f t="shared" si="0"/>
        <v>0.0015701864032859967</v>
      </c>
      <c r="E9" s="203">
        <f>E8-(E8*'Table 3'!$B$22)</f>
        <v>1430.0279492467084</v>
      </c>
      <c r="F9" s="204">
        <f t="shared" si="1"/>
        <v>2.0342028606023</v>
      </c>
      <c r="G9" s="73">
        <f t="shared" si="2"/>
        <v>2.245410442226139</v>
      </c>
      <c r="H9" s="197">
        <f>1/(1+'Table 5'!$B$5)^B9</f>
        <v>0.8276159386617093</v>
      </c>
      <c r="I9" s="73">
        <f t="shared" si="3"/>
        <v>1.6835387099057069</v>
      </c>
      <c r="J9" s="73">
        <f t="shared" si="4"/>
        <v>1.8583374708237899</v>
      </c>
    </row>
    <row r="10" spans="1:10" ht="15">
      <c r="A10" s="32">
        <v>2018</v>
      </c>
      <c r="B10" s="32">
        <v>4</v>
      </c>
      <c r="C10" s="204">
        <f>C9+(C9*'Table 5'!$F$19)</f>
        <v>0.0014461050423368556</v>
      </c>
      <c r="D10" s="78">
        <f t="shared" si="0"/>
        <v>0.0015701864032859967</v>
      </c>
      <c r="E10" s="203">
        <f>E9-(E9*'Table 3'!$B$22)</f>
        <v>1422.877809500475</v>
      </c>
      <c r="F10" s="204">
        <f t="shared" si="1"/>
        <v>2.0576307749478566</v>
      </c>
      <c r="G10" s="73">
        <f t="shared" si="2"/>
        <v>2.2341833900150085</v>
      </c>
      <c r="H10" s="197">
        <f>1/(1+'Table 5'!$B$5)^B10</f>
        <v>0.7770312070807525</v>
      </c>
      <c r="I10" s="73">
        <f t="shared" si="3"/>
        <v>1.598843324784237</v>
      </c>
      <c r="J10" s="73">
        <f t="shared" si="4"/>
        <v>1.7360302163831296</v>
      </c>
    </row>
    <row r="11" spans="1:10" ht="15">
      <c r="A11" s="32">
        <v>2019</v>
      </c>
      <c r="B11" s="32">
        <v>5</v>
      </c>
      <c r="C11" s="204">
        <f>C10+(C10*'Table 5'!$F$19)</f>
        <v>0.0014701103860396475</v>
      </c>
      <c r="D11" s="78">
        <f t="shared" si="0"/>
        <v>0.0015701864032859967</v>
      </c>
      <c r="E11" s="203">
        <f>E10-(E10*'Table 3'!$B$22)</f>
        <v>1415.7634204529727</v>
      </c>
      <c r="F11" s="204">
        <f t="shared" si="1"/>
        <v>2.0813285085829314</v>
      </c>
      <c r="G11" s="73">
        <f t="shared" si="2"/>
        <v>2.2230124730649337</v>
      </c>
      <c r="H11" s="197">
        <f>1/(1+'Table 5'!$B$5)^B11</f>
        <v>0.7295382659663435</v>
      </c>
      <c r="I11" s="73">
        <f t="shared" si="3"/>
        <v>1.5184087910579076</v>
      </c>
      <c r="J11" s="73">
        <f t="shared" si="4"/>
        <v>1.6217726648213446</v>
      </c>
    </row>
    <row r="12" spans="1:10" ht="15">
      <c r="A12" s="32">
        <v>2020</v>
      </c>
      <c r="B12" s="32">
        <v>6</v>
      </c>
      <c r="C12" s="204">
        <f>C11+(C11*'Table 5'!$F$19)</f>
        <v>0.0014945142184479056</v>
      </c>
      <c r="D12" s="78">
        <f t="shared" si="0"/>
        <v>0.0015701864032859967</v>
      </c>
      <c r="E12" s="203">
        <f>E11-(E11*'Table 3'!$B$22)</f>
        <v>1408.684603350708</v>
      </c>
      <c r="F12" s="204">
        <f t="shared" si="1"/>
        <v>2.105299169016281</v>
      </c>
      <c r="G12" s="73">
        <f t="shared" si="2"/>
        <v>2.211897410699609</v>
      </c>
      <c r="H12" s="197">
        <f>1/(1+'Table 5'!$B$5)^B12</f>
        <v>0.6849481419269022</v>
      </c>
      <c r="I12" s="73">
        <f t="shared" si="3"/>
        <v>1.442020754017953</v>
      </c>
      <c r="J12" s="73">
        <f t="shared" si="4"/>
        <v>1.5150350215916233</v>
      </c>
    </row>
    <row r="13" spans="1:10" ht="15">
      <c r="A13" s="32">
        <v>2021</v>
      </c>
      <c r="B13" s="32">
        <v>7</v>
      </c>
      <c r="C13" s="204">
        <f>C12+(C12*'Table 5'!$F$19)</f>
        <v>0.0015193231544741409</v>
      </c>
      <c r="D13" s="78">
        <f t="shared" si="0"/>
        <v>0.0015701864032859967</v>
      </c>
      <c r="E13" s="203">
        <f>E12-(E12*'Table 3'!$B$22)</f>
        <v>1401.6411803339543</v>
      </c>
      <c r="F13" s="204">
        <f t="shared" si="1"/>
        <v>2.1295458995458416</v>
      </c>
      <c r="G13" s="73">
        <f t="shared" si="2"/>
        <v>2.2008379236461106</v>
      </c>
      <c r="H13" s="197">
        <f>1/(1+'Table 5'!$B$5)^B13</f>
        <v>0.643083411817578</v>
      </c>
      <c r="I13" s="73">
        <f t="shared" si="3"/>
        <v>1.3694756427020731</v>
      </c>
      <c r="J13" s="73">
        <f t="shared" si="4"/>
        <v>1.4153223607958552</v>
      </c>
    </row>
    <row r="14" spans="1:10" ht="15">
      <c r="A14" s="32">
        <v>2022</v>
      </c>
      <c r="B14" s="32">
        <v>8</v>
      </c>
      <c r="C14" s="204">
        <f>C13+(C13*'Table 5'!$F$19)</f>
        <v>0.0015445439188384116</v>
      </c>
      <c r="D14" s="78">
        <f t="shared" si="0"/>
        <v>0.0015701864032859967</v>
      </c>
      <c r="E14" s="203">
        <f>E13-(E13*'Table 3'!$B$22)</f>
        <v>1394.6329744322845</v>
      </c>
      <c r="F14" s="204">
        <f t="shared" si="1"/>
        <v>2.154071879670911</v>
      </c>
      <c r="G14" s="73">
        <f t="shared" si="2"/>
        <v>2.1898337340278804</v>
      </c>
      <c r="H14" s="197">
        <f>1/(1+'Table 5'!$B$5)^B14</f>
        <v>0.6037774967773711</v>
      </c>
      <c r="I14" s="73">
        <f t="shared" si="3"/>
        <v>1.3005801273862292</v>
      </c>
      <c r="J14" s="73">
        <f t="shared" si="4"/>
        <v>1.3221723302899973</v>
      </c>
    </row>
    <row r="15" spans="1:10" ht="15">
      <c r="A15" s="32">
        <v>2023</v>
      </c>
      <c r="B15" s="32">
        <v>9</v>
      </c>
      <c r="C15" s="204">
        <f>C14+(C14*'Table 5'!$F$19)</f>
        <v>0.0015701833478911293</v>
      </c>
      <c r="D15" s="78">
        <f t="shared" si="0"/>
        <v>0.0015701864032859967</v>
      </c>
      <c r="E15" s="203">
        <f>E14-(E14*'Table 3'!$B$22)</f>
        <v>1387.659809560123</v>
      </c>
      <c r="F15" s="204">
        <f t="shared" si="1"/>
        <v>2.178880325509081</v>
      </c>
      <c r="G15" s="73">
        <f t="shared" si="2"/>
        <v>2.1788845653577407</v>
      </c>
      <c r="H15" s="197">
        <f>1/(1+'Table 5'!$B$5)^B15</f>
        <v>0.5668739994154269</v>
      </c>
      <c r="I15" s="73">
        <f t="shared" si="3"/>
        <v>1.23515060436892</v>
      </c>
      <c r="J15" s="73">
        <f t="shared" si="4"/>
        <v>1.2351530078288866</v>
      </c>
    </row>
    <row r="16" spans="1:10" ht="15">
      <c r="A16" s="32">
        <v>2024</v>
      </c>
      <c r="B16" s="32">
        <v>10</v>
      </c>
      <c r="C16" s="204">
        <f>C15+(C15*'Table 5'!$F$19)</f>
        <v>0.001596248391466122</v>
      </c>
      <c r="D16" s="78">
        <f t="shared" si="0"/>
        <v>0.0015701864032859967</v>
      </c>
      <c r="E16" s="203">
        <f>E15-(E15*'Table 3'!$B$22)</f>
        <v>1380.7215105123223</v>
      </c>
      <c r="F16" s="204">
        <f t="shared" si="1"/>
        <v>2.203974490217969</v>
      </c>
      <c r="G16" s="73">
        <f t="shared" si="2"/>
        <v>2.167990142530952</v>
      </c>
      <c r="H16" s="197">
        <f>1/(1+'Table 5'!$B$5)^B16</f>
        <v>0.5322260815091794</v>
      </c>
      <c r="I16" s="73">
        <f t="shared" si="3"/>
        <v>1.1730127066749008</v>
      </c>
      <c r="J16" s="73">
        <f t="shared" si="4"/>
        <v>1.1538608983097758</v>
      </c>
    </row>
    <row r="17" spans="1:10" ht="15">
      <c r="A17" s="32">
        <v>2025</v>
      </c>
      <c r="B17" s="32">
        <v>11</v>
      </c>
      <c r="C17" s="204">
        <f>C16+(C16*'Table 5'!$F$19)</f>
        <v>0.0016227461147644597</v>
      </c>
      <c r="D17" s="78">
        <f t="shared" si="0"/>
        <v>0.0015701864032859967</v>
      </c>
      <c r="E17" s="203">
        <f>E16-(E16*'Table 3'!$B$22)</f>
        <v>1373.8179029597607</v>
      </c>
      <c r="F17" s="204">
        <f t="shared" si="1"/>
        <v>2.229357664421809</v>
      </c>
      <c r="G17" s="73">
        <f t="shared" si="2"/>
        <v>2.157150191818297</v>
      </c>
      <c r="H17" s="197">
        <f>1/(1+'Table 5'!$B$5)^B17</f>
        <v>0.49969587973822116</v>
      </c>
      <c r="I17" s="73">
        <f t="shared" si="3"/>
        <v>1.1140008393744019</v>
      </c>
      <c r="J17" s="73">
        <f t="shared" si="4"/>
        <v>1.0779190628281163</v>
      </c>
    </row>
    <row r="18" spans="1:10" ht="15">
      <c r="A18" s="32">
        <v>2026</v>
      </c>
      <c r="B18" s="32">
        <v>12</v>
      </c>
      <c r="C18" s="204">
        <f>C17+(C17*'Table 5'!$F$19)</f>
        <v>0.0016496837002695497</v>
      </c>
      <c r="D18" s="78">
        <f t="shared" si="0"/>
        <v>0.0015701864032859967</v>
      </c>
      <c r="E18" s="203">
        <f>E17-(E17*'Table 3'!$B$22)</f>
        <v>1366.9488134449618</v>
      </c>
      <c r="F18" s="204">
        <f t="shared" si="1"/>
        <v>2.255033176642955</v>
      </c>
      <c r="G18" s="73">
        <f t="shared" si="2"/>
        <v>2.1463644408592057</v>
      </c>
      <c r="H18" s="197">
        <f>1/(1+'Table 5'!$B$5)^B18</f>
        <v>0.46915395712911584</v>
      </c>
      <c r="I18" s="73">
        <f t="shared" si="3"/>
        <v>1.057957738279483</v>
      </c>
      <c r="J18" s="73">
        <f t="shared" si="4"/>
        <v>1.0069753708703184</v>
      </c>
    </row>
    <row r="19" spans="1:10" ht="15">
      <c r="A19" s="32">
        <v>2027</v>
      </c>
      <c r="B19" s="32">
        <v>13</v>
      </c>
      <c r="C19" s="204">
        <f>C18+(C18*'Table 5'!$F$19)</f>
        <v>0.0016770684496940243</v>
      </c>
      <c r="D19" s="78">
        <f t="shared" si="0"/>
        <v>0.0015701864032859967</v>
      </c>
      <c r="E19" s="203">
        <f>E18-(E18*'Table 3'!$B$22)</f>
        <v>1360.114069377737</v>
      </c>
      <c r="F19" s="204">
        <f t="shared" si="1"/>
        <v>2.281004393738352</v>
      </c>
      <c r="G19" s="73">
        <f t="shared" si="2"/>
        <v>2.1356326186549093</v>
      </c>
      <c r="H19" s="197">
        <f>1/(1+'Table 5'!$B$5)^B19</f>
        <v>0.4404787880284629</v>
      </c>
      <c r="I19" s="73">
        <f t="shared" si="3"/>
        <v>1.0047340508414682</v>
      </c>
      <c r="J19" s="73">
        <f t="shared" si="4"/>
        <v>0.9407008675391669</v>
      </c>
    </row>
    <row r="20" spans="1:10" ht="15">
      <c r="A20" s="32">
        <v>2028</v>
      </c>
      <c r="B20" s="32">
        <v>14</v>
      </c>
      <c r="C20" s="204">
        <f>C19+(C19*'Table 5'!$F$19)</f>
        <v>0.0017049077859589451</v>
      </c>
      <c r="D20" s="78">
        <f t="shared" si="0"/>
        <v>0.0015701864032859967</v>
      </c>
      <c r="E20" s="203">
        <f>E19-(E19*'Table 3'!$B$22)</f>
        <v>1353.3134990308483</v>
      </c>
      <c r="F20" s="204">
        <f t="shared" si="1"/>
        <v>2.3072747213410367</v>
      </c>
      <c r="G20" s="73">
        <f t="shared" si="2"/>
        <v>2.124954455561635</v>
      </c>
      <c r="H20" s="197">
        <f>1/(1+'Table 5'!$B$5)^B20</f>
        <v>0.41355627455493654</v>
      </c>
      <c r="I20" s="73">
        <f t="shared" si="3"/>
        <v>0.9541879381325785</v>
      </c>
      <c r="J20" s="73">
        <f t="shared" si="4"/>
        <v>0.8787882482409832</v>
      </c>
    </row>
    <row r="21" spans="1:10" ht="15">
      <c r="A21" s="32">
        <v>2029</v>
      </c>
      <c r="B21" s="32">
        <v>15</v>
      </c>
      <c r="C21" s="204">
        <f>C20+(C20*'Table 5'!$F$19)</f>
        <v>0.0017332092552058637</v>
      </c>
      <c r="D21" s="78">
        <f t="shared" si="0"/>
        <v>0.0015701864032859967</v>
      </c>
      <c r="E21" s="203">
        <f>E20-(E20*'Table 3'!$B$22)</f>
        <v>1346.546931535694</v>
      </c>
      <c r="F21" s="204">
        <f t="shared" si="1"/>
        <v>2.3338476043067216</v>
      </c>
      <c r="G21" s="73">
        <f t="shared" si="2"/>
        <v>2.1143296832838265</v>
      </c>
      <c r="H21" s="197">
        <f>1/(1+'Table 5'!$B$5)^B21</f>
        <v>0.3882792926062686</v>
      </c>
      <c r="I21" s="73">
        <f t="shared" si="3"/>
        <v>0.9061846968510485</v>
      </c>
      <c r="J21" s="73">
        <f t="shared" si="4"/>
        <v>0.82095043376188</v>
      </c>
    </row>
    <row r="22" spans="1:10" ht="15">
      <c r="A22" s="32">
        <v>2030</v>
      </c>
      <c r="B22" s="32">
        <v>16</v>
      </c>
      <c r="C22" s="204">
        <f>C21+(C21*'Table 5'!$F$19)</f>
        <v>0.001761980528842281</v>
      </c>
      <c r="D22" s="78">
        <f t="shared" si="0"/>
        <v>0.0015701864032859967</v>
      </c>
      <c r="E22" s="203">
        <f>E21-(E21*'Table 3'!$B$22)</f>
        <v>1339.8141968780155</v>
      </c>
      <c r="F22" s="204">
        <f t="shared" si="1"/>
        <v>2.3607265271655216</v>
      </c>
      <c r="G22" s="73">
        <f t="shared" si="2"/>
        <v>2.1037580348674076</v>
      </c>
      <c r="H22" s="197">
        <f>1/(1+'Table 5'!$B$5)^B22</f>
        <v>0.36454726561474843</v>
      </c>
      <c r="I22" s="73">
        <f t="shared" si="3"/>
        <v>0.860596400342392</v>
      </c>
      <c r="J22" s="73">
        <f t="shared" si="4"/>
        <v>0.76691923912597</v>
      </c>
    </row>
    <row r="23" spans="1:10" ht="15">
      <c r="A23" s="32">
        <v>2031</v>
      </c>
      <c r="B23" s="32">
        <v>17</v>
      </c>
      <c r="C23" s="204">
        <f>C22+(C22*'Table 5'!$F$19)</f>
        <v>0.0017912294056210629</v>
      </c>
      <c r="D23" s="78">
        <f t="shared" si="0"/>
        <v>0.0015701864032859967</v>
      </c>
      <c r="E23" s="203">
        <f>E22-(E22*'Table 3'!$B$22)</f>
        <v>1333.1151258936254</v>
      </c>
      <c r="F23" s="204">
        <f t="shared" si="1"/>
        <v>2.387915014578887</v>
      </c>
      <c r="G23" s="73">
        <f t="shared" si="2"/>
        <v>2.0932392446930703</v>
      </c>
      <c r="H23" s="197">
        <f>1/(1+'Table 5'!$B$5)^B23</f>
        <v>0.34226576435522343</v>
      </c>
      <c r="I23" s="73">
        <f t="shared" si="3"/>
        <v>0.8173015576801572</v>
      </c>
      <c r="J23" s="73">
        <f t="shared" si="4"/>
        <v>0.7164441300632243</v>
      </c>
    </row>
    <row r="24" spans="1:10" ht="15">
      <c r="A24" s="32">
        <v>2032</v>
      </c>
      <c r="B24" s="32">
        <v>18</v>
      </c>
      <c r="C24" s="204">
        <f>C23+(C23*'Table 5'!$F$19)</f>
        <v>0.0018209638137543726</v>
      </c>
      <c r="D24" s="78">
        <f t="shared" si="0"/>
        <v>0.0015701864032859967</v>
      </c>
      <c r="E24" s="203">
        <f>E23-(E23*'Table 3'!$B$22)</f>
        <v>1326.4495502641573</v>
      </c>
      <c r="F24" s="204">
        <f t="shared" si="1"/>
        <v>2.4154166318017922</v>
      </c>
      <c r="G24" s="73">
        <f t="shared" si="2"/>
        <v>2.082773048469605</v>
      </c>
      <c r="H24" s="197">
        <f>1/(1+'Table 5'!$B$5)^B24</f>
        <v>0.3213461312132414</v>
      </c>
      <c r="I24" s="73">
        <f t="shared" si="3"/>
        <v>0.7761847898976243</v>
      </c>
      <c r="J24" s="73">
        <f t="shared" si="4"/>
        <v>0.6692910613209165</v>
      </c>
    </row>
    <row r="25" spans="1:10" ht="15">
      <c r="A25" s="32">
        <v>2033</v>
      </c>
      <c r="B25" s="32">
        <v>19</v>
      </c>
      <c r="C25" s="204">
        <f>C24+(C24*'Table 5'!$F$19)</f>
        <v>0.0018511918130626952</v>
      </c>
      <c r="D25" s="78">
        <f t="shared" si="0"/>
        <v>0.0015701864032859967</v>
      </c>
      <c r="E25" s="203">
        <f>E24-(E24*'Table 3'!$B$22)</f>
        <v>1319.8173025128365</v>
      </c>
      <c r="F25" s="204">
        <f t="shared" si="1"/>
        <v>2.4432349851502533</v>
      </c>
      <c r="G25" s="73">
        <f t="shared" si="2"/>
        <v>2.072359183227257</v>
      </c>
      <c r="H25" s="197">
        <f>1/(1+'Table 5'!$B$5)^B25</f>
        <v>0.3017051274183095</v>
      </c>
      <c r="I25" s="73">
        <f t="shared" si="3"/>
        <v>0.7371365225076287</v>
      </c>
      <c r="J25" s="73">
        <f t="shared" si="4"/>
        <v>0.6252413914320835</v>
      </c>
    </row>
    <row r="26" spans="1:10" ht="15">
      <c r="A26" s="32">
        <v>2034</v>
      </c>
      <c r="B26" s="32">
        <v>20</v>
      </c>
      <c r="C26" s="204">
        <f>C25+(C25*'Table 5'!$F$19)</f>
        <v>0.001881921597159536</v>
      </c>
      <c r="D26" s="78">
        <f t="shared" si="0"/>
        <v>0.0015701864032859967</v>
      </c>
      <c r="E26" s="203">
        <f>E25-(E25*'Table 3'!$B$22)</f>
        <v>1313.2182160002724</v>
      </c>
      <c r="F26" s="204">
        <f t="shared" si="1"/>
        <v>2.471373722474229</v>
      </c>
      <c r="G26" s="73">
        <f t="shared" si="2"/>
        <v>2.061997387311121</v>
      </c>
      <c r="H26" s="197">
        <f>1/(1+'Table 5'!$B$5)^B26</f>
        <v>0.2832646018386156</v>
      </c>
      <c r="I26" s="73">
        <f t="shared" si="3"/>
        <v>0.7000526934910799</v>
      </c>
      <c r="J26" s="73">
        <f t="shared" si="4"/>
        <v>0.5840908689089503</v>
      </c>
    </row>
    <row r="27" spans="1:10" ht="15">
      <c r="A27" s="32">
        <v>2035</v>
      </c>
      <c r="B27" s="32">
        <v>21</v>
      </c>
      <c r="C27" s="204">
        <f>C26+(C26*'Table 5'!$F$19)</f>
        <v>0.0019131614956723842</v>
      </c>
      <c r="D27" s="78">
        <f t="shared" si="0"/>
        <v>0.0015701864032859967</v>
      </c>
      <c r="E27" s="203">
        <f>E26-(E26*'Table 3'!$B$22)</f>
        <v>1306.652124920271</v>
      </c>
      <c r="F27" s="204">
        <f t="shared" si="1"/>
        <v>2.499836533635965</v>
      </c>
      <c r="G27" s="73">
        <f t="shared" si="2"/>
        <v>2.0516874003745653</v>
      </c>
      <c r="H27" s="197">
        <f>1/(1+'Table 5'!$B$5)^B27</f>
        <v>0.2659511800193556</v>
      </c>
      <c r="I27" s="73">
        <f t="shared" si="3"/>
        <v>0.6648344759759803</v>
      </c>
      <c r="J27" s="73">
        <f t="shared" si="4"/>
        <v>0.5456486851604597</v>
      </c>
    </row>
    <row r="28" spans="1:10" ht="15">
      <c r="A28" s="32">
        <v>2036</v>
      </c>
      <c r="B28" s="32">
        <v>22</v>
      </c>
      <c r="C28" s="204">
        <f>C27+(C27*'Table 5'!$F$19)</f>
        <v>0.0019449199765005458</v>
      </c>
      <c r="D28" s="78">
        <f t="shared" si="0"/>
        <v>0.0015701864032859967</v>
      </c>
      <c r="E28" s="203">
        <f>E27-(E27*'Table 3'!$B$22)</f>
        <v>1300.1188642956697</v>
      </c>
      <c r="F28" s="204">
        <f t="shared" si="1"/>
        <v>2.52862715099385</v>
      </c>
      <c r="G28" s="73">
        <f t="shared" si="2"/>
        <v>2.0414289633726925</v>
      </c>
      <c r="H28" s="197">
        <f>1/(1+'Table 5'!$B$5)^B28</f>
        <v>0.24969597222735485</v>
      </c>
      <c r="I28" s="73">
        <f t="shared" si="3"/>
        <v>0.6313880148678958</v>
      </c>
      <c r="J28" s="73">
        <f t="shared" si="4"/>
        <v>0.5097365897424256</v>
      </c>
    </row>
    <row r="29" spans="1:10" ht="15">
      <c r="A29" s="32">
        <v>2037</v>
      </c>
      <c r="B29" s="32">
        <v>23</v>
      </c>
      <c r="C29" s="204">
        <f>C28+(C28*'Table 5'!$F$19)</f>
        <v>0.0019772056481104547</v>
      </c>
      <c r="D29" s="78">
        <f t="shared" si="0"/>
        <v>0.0015701864032859967</v>
      </c>
      <c r="E29" s="203">
        <f>E28-(E28*'Table 3'!$B$22)</f>
        <v>1293.6182699741914</v>
      </c>
      <c r="F29" s="204">
        <f t="shared" si="1"/>
        <v>2.5577493498918464</v>
      </c>
      <c r="G29" s="73">
        <f t="shared" si="2"/>
        <v>2.0312218185558293</v>
      </c>
      <c r="H29" s="197">
        <f>1/(1+'Table 5'!$B$5)^B29</f>
        <v>0.23443429934030127</v>
      </c>
      <c r="I29" s="73">
        <f t="shared" si="3"/>
        <v>0.5996241767300061</v>
      </c>
      <c r="J29" s="73">
        <f t="shared" si="4"/>
        <v>0.4761880638378684</v>
      </c>
    </row>
    <row r="30" spans="1:10" ht="15">
      <c r="A30" s="32">
        <v>2038</v>
      </c>
      <c r="B30" s="32">
        <v>24</v>
      </c>
      <c r="C30" s="204">
        <f>C29+(C29*'Table 5'!$F$19)</f>
        <v>0.002010027261869088</v>
      </c>
      <c r="D30" s="78">
        <f t="shared" si="0"/>
        <v>0.0015701864032859967</v>
      </c>
      <c r="E30" s="203">
        <f>E29-(E29*'Table 3'!$B$22)</f>
        <v>1287.1501786243205</v>
      </c>
      <c r="F30" s="204">
        <f t="shared" si="1"/>
        <v>2.5872069491545506</v>
      </c>
      <c r="G30" s="73">
        <f t="shared" si="2"/>
        <v>2.0210657094630498</v>
      </c>
      <c r="H30" s="197">
        <f>1/(1+'Table 5'!$B$5)^B30</f>
        <v>0.2201054354899082</v>
      </c>
      <c r="I30" s="73">
        <f t="shared" si="3"/>
        <v>0.5694583122461792</v>
      </c>
      <c r="J30" s="73">
        <f t="shared" si="4"/>
        <v>0.44484754813508487</v>
      </c>
    </row>
    <row r="31" ht="15" thickBot="1">
      <c r="C31" s="48"/>
    </row>
    <row r="32" spans="3:10" ht="15" thickBot="1">
      <c r="C32" s="96"/>
      <c r="F32" s="49" t="s">
        <v>144</v>
      </c>
      <c r="G32" s="50"/>
      <c r="H32" s="50"/>
      <c r="I32" s="75">
        <f>SUM(I6:I31)</f>
        <v>28.319527840408483</v>
      </c>
      <c r="J32" s="76">
        <f>SUM(J6:J31)</f>
        <v>28.31952784040848</v>
      </c>
    </row>
    <row r="33" ht="15" thickBot="1"/>
    <row r="34" spans="3:5" ht="15" thickBot="1">
      <c r="C34" s="49" t="s">
        <v>166</v>
      </c>
      <c r="D34" s="83"/>
      <c r="E34" s="90">
        <f>SUMPRODUCT(F6:F30,H6:H30)/SUMPRODUCT(E6:E30,H6:H30)</f>
        <v>0.0015701864032859967</v>
      </c>
    </row>
    <row r="36" ht="15">
      <c r="A36" s="38" t="s">
        <v>150</v>
      </c>
    </row>
    <row r="37" ht="15">
      <c r="A37" t="s">
        <v>147</v>
      </c>
    </row>
    <row r="39" spans="1:9" ht="15">
      <c r="A39" s="22" t="s">
        <v>528</v>
      </c>
      <c r="B39" s="22"/>
      <c r="C39" s="22"/>
      <c r="D39" s="22"/>
      <c r="E39" s="22"/>
      <c r="F39" s="22"/>
      <c r="G39" s="22"/>
      <c r="H39" s="22"/>
      <c r="I39" s="22"/>
    </row>
    <row r="41" ht="15">
      <c r="A41" t="s">
        <v>523</v>
      </c>
    </row>
    <row r="42" ht="15">
      <c r="A42" t="s">
        <v>524</v>
      </c>
    </row>
    <row r="43" ht="15">
      <c r="A43" t="s">
        <v>525</v>
      </c>
    </row>
    <row r="44" ht="15">
      <c r="A44" t="s">
        <v>526</v>
      </c>
    </row>
    <row r="45" ht="15">
      <c r="A45" t="s">
        <v>527</v>
      </c>
    </row>
  </sheetData>
  <mergeCells count="5">
    <mergeCell ref="A4:A5"/>
    <mergeCell ref="C3:D3"/>
    <mergeCell ref="F3:G3"/>
    <mergeCell ref="I3:J3"/>
    <mergeCell ref="A2:J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topLeftCell="A1">
      <selection activeCell="M6" sqref="M6"/>
    </sheetView>
  </sheetViews>
  <sheetFormatPr defaultColWidth="9.140625" defaultRowHeight="15"/>
  <cols>
    <col min="3" max="4" width="9.00390625" style="0" customWidth="1"/>
    <col min="6" max="6" width="12.00390625" style="0" customWidth="1"/>
    <col min="7" max="7" width="15.140625" style="0" customWidth="1"/>
    <col min="8" max="8" width="10.57421875" style="0" bestFit="1" customWidth="1"/>
    <col min="9" max="9" width="10.28125" style="0" customWidth="1"/>
    <col min="10" max="10" width="13.140625" style="0" customWidth="1"/>
    <col min="11" max="11" width="13.421875" style="0" customWidth="1"/>
    <col min="12" max="12" width="14.140625" style="0" customWidth="1"/>
    <col min="13" max="13" width="13.00390625" style="0" customWidth="1"/>
  </cols>
  <sheetData>
    <row r="1" spans="1:13" ht="15">
      <c r="A1" s="260" t="s">
        <v>606</v>
      </c>
      <c r="B1" s="260"/>
      <c r="C1" s="260"/>
      <c r="D1" s="260"/>
      <c r="E1" s="260"/>
      <c r="F1" s="260"/>
      <c r="G1" s="260"/>
      <c r="H1" s="260"/>
      <c r="I1" s="260"/>
      <c r="J1" s="260"/>
      <c r="K1" s="260"/>
      <c r="L1" s="260"/>
      <c r="M1" s="260"/>
    </row>
    <row r="2" spans="1:13" ht="15">
      <c r="A2" s="261"/>
      <c r="B2" s="261"/>
      <c r="C2" s="261"/>
      <c r="D2" s="261"/>
      <c r="E2" s="261"/>
      <c r="F2" s="261"/>
      <c r="G2" s="261"/>
      <c r="H2" s="261"/>
      <c r="I2" s="261"/>
      <c r="J2" s="261"/>
      <c r="K2" s="261"/>
      <c r="L2" s="261"/>
      <c r="M2" s="261"/>
    </row>
    <row r="3" spans="1:13" ht="15">
      <c r="A3" s="6"/>
      <c r="B3" s="6"/>
      <c r="C3" s="6"/>
      <c r="D3" s="6"/>
      <c r="E3" s="6"/>
      <c r="F3" s="6"/>
      <c r="G3" s="262" t="s">
        <v>126</v>
      </c>
      <c r="H3" s="262"/>
      <c r="I3" s="6"/>
      <c r="J3" s="262" t="s">
        <v>129</v>
      </c>
      <c r="K3" s="262"/>
      <c r="L3" s="262" t="s">
        <v>122</v>
      </c>
      <c r="M3" s="262"/>
    </row>
    <row r="4" spans="1:20" ht="28.8">
      <c r="A4" s="262" t="s">
        <v>39</v>
      </c>
      <c r="B4" s="37" t="s">
        <v>134</v>
      </c>
      <c r="C4" s="151" t="s">
        <v>153</v>
      </c>
      <c r="D4" s="151" t="s">
        <v>137</v>
      </c>
      <c r="E4" s="151" t="s">
        <v>138</v>
      </c>
      <c r="F4" s="151" t="s">
        <v>125</v>
      </c>
      <c r="G4" s="151" t="s">
        <v>127</v>
      </c>
      <c r="H4" s="151" t="s">
        <v>124</v>
      </c>
      <c r="I4" s="151" t="s">
        <v>140</v>
      </c>
      <c r="J4" s="151" t="s">
        <v>127</v>
      </c>
      <c r="K4" s="151" t="s">
        <v>124</v>
      </c>
      <c r="L4" s="151" t="s">
        <v>127</v>
      </c>
      <c r="M4" s="37" t="s">
        <v>124</v>
      </c>
      <c r="N4" s="2"/>
      <c r="O4" s="2"/>
      <c r="P4" s="2"/>
      <c r="Q4" s="2"/>
      <c r="R4" s="2"/>
      <c r="S4" s="2"/>
      <c r="T4" s="2"/>
    </row>
    <row r="5" spans="1:13" ht="15">
      <c r="A5" s="262"/>
      <c r="B5" s="6"/>
      <c r="C5" s="36" t="s">
        <v>154</v>
      </c>
      <c r="D5" s="36" t="s">
        <v>141</v>
      </c>
      <c r="E5" s="36" t="s">
        <v>142</v>
      </c>
      <c r="F5" s="36" t="s">
        <v>132</v>
      </c>
      <c r="G5" s="36" t="s">
        <v>133</v>
      </c>
      <c r="H5" s="36" t="s">
        <v>133</v>
      </c>
      <c r="I5" s="36"/>
      <c r="J5" s="36" t="s">
        <v>133</v>
      </c>
      <c r="K5" s="36" t="s">
        <v>133</v>
      </c>
      <c r="L5" s="36" t="s">
        <v>131</v>
      </c>
      <c r="M5" s="36" t="s">
        <v>131</v>
      </c>
    </row>
    <row r="6" spans="1:13" ht="15">
      <c r="A6" s="32">
        <v>2014</v>
      </c>
      <c r="B6" s="32">
        <v>0</v>
      </c>
      <c r="C6" s="120">
        <f>$O$50</f>
        <v>63.49850165299537</v>
      </c>
      <c r="D6" s="19">
        <v>1</v>
      </c>
      <c r="E6" s="19">
        <v>1</v>
      </c>
      <c r="F6" s="77">
        <f>'Table 5'!B15</f>
        <v>1451.69467371372</v>
      </c>
      <c r="G6" s="55">
        <f>(C6*E6)/D6</f>
        <v>63.49850165299537</v>
      </c>
      <c r="H6" s="55">
        <f>F6*M6</f>
        <v>64.04995093639452</v>
      </c>
      <c r="I6" s="19">
        <v>1</v>
      </c>
      <c r="J6" s="55">
        <f>G6*I6</f>
        <v>63.49850165299537</v>
      </c>
      <c r="K6" s="55">
        <f>H6*I6</f>
        <v>64.04995093639452</v>
      </c>
      <c r="L6" s="55">
        <f>G6/F6</f>
        <v>0.04374094828808164</v>
      </c>
      <c r="M6" s="74">
        <f>$I$35</f>
        <v>0.044120814174059185</v>
      </c>
    </row>
    <row r="7" spans="1:13" ht="15">
      <c r="A7" s="32">
        <v>2015</v>
      </c>
      <c r="B7" s="32">
        <v>1</v>
      </c>
      <c r="C7" s="120">
        <f aca="true" t="shared" si="0" ref="C7:C30">$O$50</f>
        <v>63.49850165299537</v>
      </c>
      <c r="D7" s="19">
        <f>D6-(D6*'Table 5'!$F$16)</f>
        <v>0.999</v>
      </c>
      <c r="E7" s="19">
        <f>E6-(E6*'Table 3'!$B$22)</f>
        <v>0.995</v>
      </c>
      <c r="F7" s="77">
        <f>F6-(F6*'Table 3'!$B$22)</f>
        <v>1444.4362003451515</v>
      </c>
      <c r="G7" s="55">
        <f aca="true" t="shared" si="1" ref="G7:G30">(C7*E7)/D7</f>
        <v>63.24425339812853</v>
      </c>
      <c r="H7" s="55">
        <f aca="true" t="shared" si="2" ref="H7:H30">F7*M7</f>
        <v>63.72970118171256</v>
      </c>
      <c r="I7" s="19">
        <f>1/(1+'Table 5'!$B$5)^B7</f>
        <v>0.9388789784996715</v>
      </c>
      <c r="J7" s="55">
        <f aca="true" t="shared" si="3" ref="J7:J30">G7*I7</f>
        <v>59.37870002640929</v>
      </c>
      <c r="K7" s="55">
        <f aca="true" t="shared" si="4" ref="K7:K30">H7*I7</f>
        <v>59.83447674557559</v>
      </c>
      <c r="L7" s="55">
        <f aca="true" t="shared" si="5" ref="L7:L30">G7/F7</f>
        <v>0.04378473302110274</v>
      </c>
      <c r="M7" s="74">
        <f aca="true" t="shared" si="6" ref="M7:M30">$I$35</f>
        <v>0.044120814174059185</v>
      </c>
    </row>
    <row r="8" spans="1:13" ht="15">
      <c r="A8" s="32">
        <v>2016</v>
      </c>
      <c r="B8" s="32">
        <v>2</v>
      </c>
      <c r="C8" s="120">
        <f t="shared" si="0"/>
        <v>63.49850165299537</v>
      </c>
      <c r="D8" s="196">
        <f>D7-(D7*'Table 5'!$F$16)</f>
        <v>0.998001</v>
      </c>
      <c r="E8" s="196">
        <f>E7-(E7*'Table 3'!$B$22)</f>
        <v>0.990025</v>
      </c>
      <c r="F8" s="205">
        <f>F7-(F7*'Table 3'!$B$22)</f>
        <v>1437.2140193434257</v>
      </c>
      <c r="G8" s="55">
        <f t="shared" si="1"/>
        <v>62.99102315429218</v>
      </c>
      <c r="H8" s="55">
        <f t="shared" si="2"/>
        <v>63.41105267580399</v>
      </c>
      <c r="I8" s="196">
        <f>1/(1+'Table 5'!$B$5)^B8</f>
        <v>0.8814937362685866</v>
      </c>
      <c r="J8" s="55">
        <f t="shared" si="3"/>
        <v>55.52619235165806</v>
      </c>
      <c r="K8" s="55">
        <f t="shared" si="4"/>
        <v>55.89644574391861</v>
      </c>
      <c r="L8" s="55">
        <f t="shared" si="5"/>
        <v>0.04382856158268543</v>
      </c>
      <c r="M8" s="74">
        <f t="shared" si="6"/>
        <v>0.044120814174059185</v>
      </c>
    </row>
    <row r="9" spans="1:13" ht="15">
      <c r="A9" s="32">
        <v>2017</v>
      </c>
      <c r="B9" s="32">
        <v>3</v>
      </c>
      <c r="C9" s="120">
        <f t="shared" si="0"/>
        <v>63.49850165299537</v>
      </c>
      <c r="D9" s="196">
        <f>D8-(D8*'Table 5'!$F$16)</f>
        <v>0.997002999</v>
      </c>
      <c r="E9" s="196">
        <f>E8-(E8*'Table 3'!$B$22)</f>
        <v>0.985074875</v>
      </c>
      <c r="F9" s="205">
        <f>F8-(F8*'Table 3'!$B$22)</f>
        <v>1430.0279492467084</v>
      </c>
      <c r="G9" s="55">
        <f t="shared" si="1"/>
        <v>62.73880684536608</v>
      </c>
      <c r="H9" s="55">
        <f t="shared" si="2"/>
        <v>63.09399741242496</v>
      </c>
      <c r="I9" s="196">
        <f>1/(1+'Table 5'!$B$5)^B9</f>
        <v>0.8276159386617093</v>
      </c>
      <c r="J9" s="55">
        <f t="shared" si="3"/>
        <v>51.92363651784332</v>
      </c>
      <c r="K9" s="55">
        <f t="shared" si="4"/>
        <v>52.217597892403546</v>
      </c>
      <c r="L9" s="55">
        <f t="shared" si="5"/>
        <v>0.04387243401670213</v>
      </c>
      <c r="M9" s="74">
        <f t="shared" si="6"/>
        <v>0.044120814174059185</v>
      </c>
    </row>
    <row r="10" spans="1:13" ht="15">
      <c r="A10" s="32">
        <v>2018</v>
      </c>
      <c r="B10" s="32">
        <v>4</v>
      </c>
      <c r="C10" s="120">
        <f t="shared" si="0"/>
        <v>63.49850165299537</v>
      </c>
      <c r="D10" s="196">
        <f>D9-(D9*'Table 5'!$F$16)</f>
        <v>0.996005996001</v>
      </c>
      <c r="E10" s="196">
        <f>E9-(E9*'Table 3'!$B$22)</f>
        <v>0.9801495006250001</v>
      </c>
      <c r="F10" s="205">
        <f>F9-(F9*'Table 3'!$B$22)</f>
        <v>1422.877809500475</v>
      </c>
      <c r="G10" s="55">
        <f t="shared" si="1"/>
        <v>62.487600411550794</v>
      </c>
      <c r="H10" s="55">
        <f t="shared" si="2"/>
        <v>62.77852742536284</v>
      </c>
      <c r="I10" s="196">
        <f>1/(1+'Table 5'!$B$5)^B10</f>
        <v>0.7770312070807525</v>
      </c>
      <c r="J10" s="55">
        <f t="shared" si="3"/>
        <v>48.55481557536704</v>
      </c>
      <c r="K10" s="55">
        <f t="shared" si="4"/>
        <v>48.78087494408181</v>
      </c>
      <c r="L10" s="55">
        <f t="shared" si="5"/>
        <v>0.043916350367069194</v>
      </c>
      <c r="M10" s="74">
        <f t="shared" si="6"/>
        <v>0.044120814174059185</v>
      </c>
    </row>
    <row r="11" spans="1:13" ht="15">
      <c r="A11" s="32">
        <v>2019</v>
      </c>
      <c r="B11" s="32">
        <v>5</v>
      </c>
      <c r="C11" s="120">
        <f t="shared" si="0"/>
        <v>63.49850165299537</v>
      </c>
      <c r="D11" s="196">
        <f>D10-(D10*'Table 5'!$F$16)</f>
        <v>0.995009990004999</v>
      </c>
      <c r="E11" s="196">
        <f>E10-(E10*'Table 3'!$B$22)</f>
        <v>0.9752487531218751</v>
      </c>
      <c r="F11" s="205">
        <f>F10-(F10*'Table 3'!$B$22)</f>
        <v>1415.7634204529727</v>
      </c>
      <c r="G11" s="55">
        <f t="shared" si="1"/>
        <v>62.23739980930235</v>
      </c>
      <c r="H11" s="55">
        <f t="shared" si="2"/>
        <v>62.46463478823603</v>
      </c>
      <c r="I11" s="196">
        <f>1/(1+'Table 5'!$B$5)^B11</f>
        <v>0.7295382659663435</v>
      </c>
      <c r="J11" s="55">
        <f t="shared" si="3"/>
        <v>45.404564735132475</v>
      </c>
      <c r="K11" s="55">
        <f t="shared" si="4"/>
        <v>45.57034134763065</v>
      </c>
      <c r="L11" s="55">
        <f t="shared" si="5"/>
        <v>0.043960310677746944</v>
      </c>
      <c r="M11" s="74">
        <f t="shared" si="6"/>
        <v>0.044120814174059185</v>
      </c>
    </row>
    <row r="12" spans="1:13" ht="15">
      <c r="A12" s="32">
        <v>2020</v>
      </c>
      <c r="B12" s="32">
        <v>6</v>
      </c>
      <c r="C12" s="120">
        <f t="shared" si="0"/>
        <v>63.49850165299537</v>
      </c>
      <c r="D12" s="196">
        <f>D11-(D11*'Table 5'!$F$16)</f>
        <v>0.994014980014994</v>
      </c>
      <c r="E12" s="196">
        <f>E11-(E11*'Table 3'!$B$22)</f>
        <v>0.9703725093562657</v>
      </c>
      <c r="F12" s="205">
        <f>F11-(F11*'Table 3'!$B$22)</f>
        <v>1408.684603350708</v>
      </c>
      <c r="G12" s="55">
        <f t="shared" si="1"/>
        <v>61.988201011267115</v>
      </c>
      <c r="H12" s="55">
        <f t="shared" si="2"/>
        <v>62.15231161429485</v>
      </c>
      <c r="I12" s="196">
        <f>1/(1+'Table 5'!$B$5)^B12</f>
        <v>0.6849481419269022</v>
      </c>
      <c r="J12" s="55">
        <f t="shared" si="3"/>
        <v>42.458703104058735</v>
      </c>
      <c r="K12" s="55">
        <f t="shared" si="4"/>
        <v>42.57111035667308</v>
      </c>
      <c r="L12" s="55">
        <f t="shared" si="5"/>
        <v>0.044004314992739685</v>
      </c>
      <c r="M12" s="74">
        <f t="shared" si="6"/>
        <v>0.044120814174059185</v>
      </c>
    </row>
    <row r="13" spans="1:13" ht="15">
      <c r="A13" s="32">
        <v>2021</v>
      </c>
      <c r="B13" s="32">
        <v>7</v>
      </c>
      <c r="C13" s="120">
        <f t="shared" si="0"/>
        <v>63.49850165299537</v>
      </c>
      <c r="D13" s="196">
        <f>D12-(D12*'Table 5'!$F$16)</f>
        <v>0.993020965034979</v>
      </c>
      <c r="E13" s="196">
        <f>E12-(E12*'Table 3'!$B$22)</f>
        <v>0.9655206468094844</v>
      </c>
      <c r="F13" s="205">
        <f>F12-(F12*'Table 3'!$B$22)</f>
        <v>1401.6411803339543</v>
      </c>
      <c r="G13" s="55">
        <f t="shared" si="1"/>
        <v>61.74000000621699</v>
      </c>
      <c r="H13" s="55">
        <f t="shared" si="2"/>
        <v>61.841550056223376</v>
      </c>
      <c r="I13" s="196">
        <f>1/(1+'Table 5'!$B$5)^B13</f>
        <v>0.643083411817578</v>
      </c>
      <c r="J13" s="55">
        <f t="shared" si="3"/>
        <v>39.703969849615305</v>
      </c>
      <c r="K13" s="55">
        <f t="shared" si="4"/>
        <v>39.76927500224366</v>
      </c>
      <c r="L13" s="55">
        <f t="shared" si="5"/>
        <v>0.04404836335609578</v>
      </c>
      <c r="M13" s="74">
        <f t="shared" si="6"/>
        <v>0.044120814174059185</v>
      </c>
    </row>
    <row r="14" spans="1:13" ht="15">
      <c r="A14" s="32">
        <v>2022</v>
      </c>
      <c r="B14" s="32">
        <v>8</v>
      </c>
      <c r="C14" s="120">
        <f t="shared" si="0"/>
        <v>63.49850165299537</v>
      </c>
      <c r="D14" s="196">
        <f>D13-(D13*'Table 5'!$F$16)</f>
        <v>0.9920279440699441</v>
      </c>
      <c r="E14" s="196">
        <f>E13-(E13*'Table 3'!$B$22)</f>
        <v>0.960693043575437</v>
      </c>
      <c r="F14" s="205">
        <f>F13-(F13*'Table 3'!$B$22)</f>
        <v>1394.6329744322845</v>
      </c>
      <c r="G14" s="55">
        <f t="shared" si="1"/>
        <v>61.49279279898489</v>
      </c>
      <c r="H14" s="55">
        <f t="shared" si="2"/>
        <v>61.53234230594226</v>
      </c>
      <c r="I14" s="196">
        <f>1/(1+'Table 5'!$B$5)^B14</f>
        <v>0.6037774967773711</v>
      </c>
      <c r="J14" s="55">
        <f t="shared" si="3"/>
        <v>37.127964506020646</v>
      </c>
      <c r="K14" s="55">
        <f t="shared" si="4"/>
        <v>37.15184360833015</v>
      </c>
      <c r="L14" s="55">
        <f t="shared" si="5"/>
        <v>0.04409245581190768</v>
      </c>
      <c r="M14" s="74">
        <f t="shared" si="6"/>
        <v>0.044120814174059185</v>
      </c>
    </row>
    <row r="15" spans="1:13" ht="15">
      <c r="A15" s="32">
        <v>2023</v>
      </c>
      <c r="B15" s="32">
        <v>9</v>
      </c>
      <c r="C15" s="120">
        <f t="shared" si="0"/>
        <v>63.49850165299537</v>
      </c>
      <c r="D15" s="196">
        <f>D14-(D14*'Table 5'!$F$16)</f>
        <v>0.9910359161258742</v>
      </c>
      <c r="E15" s="196">
        <f>E14-(E14*'Table 3'!$B$22)</f>
        <v>0.9558895783575597</v>
      </c>
      <c r="F15" s="205">
        <f>F14-(F14*'Table 3'!$B$22)</f>
        <v>1387.659809560123</v>
      </c>
      <c r="G15" s="55">
        <f t="shared" si="1"/>
        <v>61.246575410400354</v>
      </c>
      <c r="H15" s="55">
        <f t="shared" si="2"/>
        <v>61.22468059441255</v>
      </c>
      <c r="I15" s="196">
        <f>1/(1+'Table 5'!$B$5)^B15</f>
        <v>0.5668739994154269</v>
      </c>
      <c r="J15" s="55">
        <f t="shared" si="3"/>
        <v>34.71909115339219</v>
      </c>
      <c r="K15" s="55">
        <f t="shared" si="4"/>
        <v>34.706679551486715</v>
      </c>
      <c r="L15" s="55">
        <f t="shared" si="5"/>
        <v>0.044136592404311996</v>
      </c>
      <c r="M15" s="74">
        <f t="shared" si="6"/>
        <v>0.044120814174059185</v>
      </c>
    </row>
    <row r="16" spans="1:13" ht="15">
      <c r="A16" s="32">
        <v>2024</v>
      </c>
      <c r="B16" s="32">
        <v>10</v>
      </c>
      <c r="C16" s="120">
        <f t="shared" si="0"/>
        <v>63.49850165299537</v>
      </c>
      <c r="D16" s="196">
        <f>D15-(D15*'Table 5'!$F$16)</f>
        <v>0.9900448802097482</v>
      </c>
      <c r="E16" s="196">
        <f>E15-(E15*'Table 3'!$B$22)</f>
        <v>0.951110130465772</v>
      </c>
      <c r="F16" s="205">
        <f>F15-(F15*'Table 3'!$B$22)</f>
        <v>1380.7215105123223</v>
      </c>
      <c r="G16" s="55">
        <f t="shared" si="1"/>
        <v>61.00134387722559</v>
      </c>
      <c r="H16" s="55">
        <f t="shared" si="2"/>
        <v>60.91855719144048</v>
      </c>
      <c r="I16" s="196">
        <f>1/(1+'Table 5'!$B$5)^B16</f>
        <v>0.5322260815091794</v>
      </c>
      <c r="J16" s="55">
        <f t="shared" si="3"/>
        <v>32.46650621856975</v>
      </c>
      <c r="K16" s="55">
        <f t="shared" si="4"/>
        <v>32.4224449851932</v>
      </c>
      <c r="L16" s="55">
        <f t="shared" si="5"/>
        <v>0.044180773177489495</v>
      </c>
      <c r="M16" s="74">
        <f t="shared" si="6"/>
        <v>0.044120814174059185</v>
      </c>
    </row>
    <row r="17" spans="1:13" ht="15">
      <c r="A17" s="32">
        <v>2025</v>
      </c>
      <c r="B17" s="32">
        <v>11</v>
      </c>
      <c r="C17" s="120">
        <f t="shared" si="0"/>
        <v>63.49850165299537</v>
      </c>
      <c r="D17" s="196">
        <f>D16-(D16*'Table 5'!$F$16)</f>
        <v>0.9890548353295385</v>
      </c>
      <c r="E17" s="196">
        <f>E16-(E16*'Table 3'!$B$22)</f>
        <v>0.9463545798134431</v>
      </c>
      <c r="F17" s="205">
        <f>F16-(F16*'Table 3'!$B$22)</f>
        <v>1373.8179029597607</v>
      </c>
      <c r="G17" s="55">
        <f t="shared" si="1"/>
        <v>60.75709425209155</v>
      </c>
      <c r="H17" s="55">
        <f t="shared" si="2"/>
        <v>60.61396440548327</v>
      </c>
      <c r="I17" s="196">
        <f>1/(1+'Table 5'!$B$5)^B17</f>
        <v>0.49969587973822116</v>
      </c>
      <c r="J17" s="55">
        <f t="shared" si="3"/>
        <v>30.360069662636906</v>
      </c>
      <c r="K17" s="55">
        <f t="shared" si="4"/>
        <v>30.288548268019188</v>
      </c>
      <c r="L17" s="55">
        <f t="shared" si="5"/>
        <v>0.04422499817566516</v>
      </c>
      <c r="M17" s="74">
        <f t="shared" si="6"/>
        <v>0.044120814174059185</v>
      </c>
    </row>
    <row r="18" spans="1:13" ht="15">
      <c r="A18" s="32">
        <v>2026</v>
      </c>
      <c r="B18" s="32">
        <v>12</v>
      </c>
      <c r="C18" s="120">
        <f t="shared" si="0"/>
        <v>63.49850165299537</v>
      </c>
      <c r="D18" s="196">
        <f>D17-(D17*'Table 5'!$F$16)</f>
        <v>0.988065780494209</v>
      </c>
      <c r="E18" s="196">
        <f>E17-(E17*'Table 3'!$B$22)</f>
        <v>0.9416228069143758</v>
      </c>
      <c r="F18" s="205">
        <f>F17-(F17*'Table 3'!$B$22)</f>
        <v>1366.9488134449618</v>
      </c>
      <c r="G18" s="55">
        <f t="shared" si="1"/>
        <v>60.51382260343452</v>
      </c>
      <c r="H18" s="55">
        <f t="shared" si="2"/>
        <v>60.310894583455855</v>
      </c>
      <c r="I18" s="196">
        <f>1/(1+'Table 5'!$B$5)^B18</f>
        <v>0.46915395712911584</v>
      </c>
      <c r="J18" s="55">
        <f t="shared" si="3"/>
        <v>28.39029933541064</v>
      </c>
      <c r="K18" s="55">
        <f t="shared" si="4"/>
        <v>28.295094851825272</v>
      </c>
      <c r="L18" s="55">
        <f t="shared" si="5"/>
        <v>0.04426926744310826</v>
      </c>
      <c r="M18" s="74">
        <f t="shared" si="6"/>
        <v>0.044120814174059185</v>
      </c>
    </row>
    <row r="19" spans="1:13" ht="15">
      <c r="A19" s="32">
        <v>2027</v>
      </c>
      <c r="B19" s="32">
        <v>13</v>
      </c>
      <c r="C19" s="120">
        <f t="shared" si="0"/>
        <v>63.49850165299537</v>
      </c>
      <c r="D19" s="196">
        <f>D18-(D18*'Table 5'!$F$16)</f>
        <v>0.9870777147137147</v>
      </c>
      <c r="E19" s="196">
        <f>E18-(E18*'Table 3'!$B$22)</f>
        <v>0.936914692879804</v>
      </c>
      <c r="F19" s="205">
        <f>F18-(F18*'Table 3'!$B$22)</f>
        <v>1360.114069377737</v>
      </c>
      <c r="G19" s="55">
        <f t="shared" si="1"/>
        <v>60.271525015432786</v>
      </c>
      <c r="H19" s="55">
        <f t="shared" si="2"/>
        <v>60.009340110538574</v>
      </c>
      <c r="I19" s="196">
        <f>1/(1+'Table 5'!$B$5)^B19</f>
        <v>0.4404787880284629</v>
      </c>
      <c r="J19" s="55">
        <f t="shared" si="3"/>
        <v>26.54832829142502</v>
      </c>
      <c r="K19" s="55">
        <f t="shared" si="4"/>
        <v>26.43284140227786</v>
      </c>
      <c r="L19" s="55">
        <f t="shared" si="5"/>
        <v>0.0443135810241324</v>
      </c>
      <c r="M19" s="74">
        <f t="shared" si="6"/>
        <v>0.044120814174059185</v>
      </c>
    </row>
    <row r="20" spans="1:13" ht="15">
      <c r="A20" s="32">
        <v>2028</v>
      </c>
      <c r="B20" s="32">
        <v>14</v>
      </c>
      <c r="C20" s="120">
        <f t="shared" si="0"/>
        <v>63.49850165299537</v>
      </c>
      <c r="D20" s="196">
        <f>D19-(D19*'Table 5'!$F$16)</f>
        <v>0.986090636999001</v>
      </c>
      <c r="E20" s="196">
        <f>E19-(E19*'Table 3'!$B$22)</f>
        <v>0.932230119415405</v>
      </c>
      <c r="F20" s="205">
        <f>F19-(F19*'Table 3'!$B$22)</f>
        <v>1353.3134990308483</v>
      </c>
      <c r="G20" s="55">
        <f t="shared" si="1"/>
        <v>60.03019758794357</v>
      </c>
      <c r="H20" s="55">
        <f t="shared" si="2"/>
        <v>59.70929340998588</v>
      </c>
      <c r="I20" s="196">
        <f>1/(1+'Table 5'!$B$5)^B20</f>
        <v>0.41355627455493654</v>
      </c>
      <c r="J20" s="55">
        <f t="shared" si="3"/>
        <v>24.82586487526668</v>
      </c>
      <c r="K20" s="55">
        <f t="shared" si="4"/>
        <v>24.693152938941385</v>
      </c>
      <c r="L20" s="55">
        <f t="shared" si="5"/>
        <v>0.0443579389630955</v>
      </c>
      <c r="M20" s="74">
        <f t="shared" si="6"/>
        <v>0.044120814174059185</v>
      </c>
    </row>
    <row r="21" spans="1:13" ht="15">
      <c r="A21" s="32">
        <v>2029</v>
      </c>
      <c r="B21" s="32">
        <v>15</v>
      </c>
      <c r="C21" s="120">
        <f t="shared" si="0"/>
        <v>63.49850165299537</v>
      </c>
      <c r="D21" s="196">
        <f>D20-(D20*'Table 5'!$F$16)</f>
        <v>0.9851045463620021</v>
      </c>
      <c r="E21" s="196">
        <f>E20-(E20*'Table 3'!$B$22)</f>
        <v>0.927568968818328</v>
      </c>
      <c r="F21" s="205">
        <f>F20-(F20*'Table 3'!$B$22)</f>
        <v>1346.546931535694</v>
      </c>
      <c r="G21" s="55">
        <f t="shared" si="1"/>
        <v>59.78983643644028</v>
      </c>
      <c r="H21" s="55">
        <f t="shared" si="2"/>
        <v>59.41074694293595</v>
      </c>
      <c r="I21" s="196">
        <f>1/(1+'Table 5'!$B$5)^B21</f>
        <v>0.3882792926062686</v>
      </c>
      <c r="J21" s="55">
        <f t="shared" si="3"/>
        <v>23.215155396585537</v>
      </c>
      <c r="K21" s="55">
        <f t="shared" si="4"/>
        <v>23.067962796213205</v>
      </c>
      <c r="L21" s="55">
        <f t="shared" si="5"/>
        <v>0.04440234130439989</v>
      </c>
      <c r="M21" s="74">
        <f t="shared" si="6"/>
        <v>0.044120814174059185</v>
      </c>
    </row>
    <row r="22" spans="1:13" ht="15">
      <c r="A22" s="32">
        <v>2030</v>
      </c>
      <c r="B22" s="32">
        <v>16</v>
      </c>
      <c r="C22" s="120">
        <f t="shared" si="0"/>
        <v>63.49850165299537</v>
      </c>
      <c r="D22" s="196">
        <f>D21-(D21*'Table 5'!$F$16)</f>
        <v>0.98411944181564</v>
      </c>
      <c r="E22" s="196">
        <f>E21-(E21*'Table 3'!$B$22)</f>
        <v>0.9229311239742363</v>
      </c>
      <c r="F22" s="205">
        <f>F21-(F21*'Table 3'!$B$22)</f>
        <v>1339.8141968780155</v>
      </c>
      <c r="G22" s="55">
        <f t="shared" si="1"/>
        <v>59.55043769195003</v>
      </c>
      <c r="H22" s="55">
        <f t="shared" si="2"/>
        <v>59.11369320822127</v>
      </c>
      <c r="I22" s="196">
        <f>1/(1+'Table 5'!$B$5)^B22</f>
        <v>0.36454726561474843</v>
      </c>
      <c r="J22" s="55">
        <f t="shared" si="3"/>
        <v>21.708949226761835</v>
      </c>
      <c r="K22" s="55">
        <f t="shared" si="4"/>
        <v>21.54973521944619</v>
      </c>
      <c r="L22" s="55">
        <f t="shared" si="5"/>
        <v>0.04444678809249238</v>
      </c>
      <c r="M22" s="74">
        <f t="shared" si="6"/>
        <v>0.044120814174059185</v>
      </c>
    </row>
    <row r="23" spans="1:13" ht="15">
      <c r="A23" s="32">
        <v>2031</v>
      </c>
      <c r="B23" s="32">
        <v>17</v>
      </c>
      <c r="C23" s="120">
        <f t="shared" si="0"/>
        <v>63.49850165299537</v>
      </c>
      <c r="D23" s="196">
        <f>D22-(D22*'Table 5'!$F$16)</f>
        <v>0.9831353223738244</v>
      </c>
      <c r="E23" s="196">
        <f>E22-(E22*'Table 3'!$B$22)</f>
        <v>0.9183164683543651</v>
      </c>
      <c r="F23" s="205">
        <f>F22-(F22*'Table 3'!$B$22)</f>
        <v>1333.1151258936254</v>
      </c>
      <c r="G23" s="55">
        <f t="shared" si="1"/>
        <v>59.311997500991275</v>
      </c>
      <c r="H23" s="55">
        <f t="shared" si="2"/>
        <v>58.81812474218016</v>
      </c>
      <c r="I23" s="196">
        <f>1/(1+'Table 5'!$B$5)^B23</f>
        <v>0.34226576435522343</v>
      </c>
      <c r="J23" s="55">
        <f t="shared" si="3"/>
        <v>20.30046616011188</v>
      </c>
      <c r="K23" s="55">
        <f t="shared" si="4"/>
        <v>20.131430422823172</v>
      </c>
      <c r="L23" s="55">
        <f t="shared" si="5"/>
        <v>0.044491279371864256</v>
      </c>
      <c r="M23" s="74">
        <f t="shared" si="6"/>
        <v>0.044120814174059185</v>
      </c>
    </row>
    <row r="24" spans="1:13" ht="15">
      <c r="A24" s="32">
        <v>2032</v>
      </c>
      <c r="B24" s="32">
        <v>18</v>
      </c>
      <c r="C24" s="120">
        <f t="shared" si="0"/>
        <v>63.49850165299537</v>
      </c>
      <c r="D24" s="196">
        <f>D23-(D23*'Table 5'!$F$16)</f>
        <v>0.9821521870514506</v>
      </c>
      <c r="E24" s="196">
        <f>E23-(E23*'Table 3'!$B$22)</f>
        <v>0.9137248860125933</v>
      </c>
      <c r="F24" s="205">
        <f>F23-(F23*'Table 3'!$B$22)</f>
        <v>1326.4495502641573</v>
      </c>
      <c r="G24" s="55">
        <f t="shared" si="1"/>
        <v>59.07451202551183</v>
      </c>
      <c r="H24" s="55">
        <f t="shared" si="2"/>
        <v>58.52403411846927</v>
      </c>
      <c r="I24" s="196">
        <f>1/(1+'Table 5'!$B$5)^B24</f>
        <v>0.3213461312132414</v>
      </c>
      <c r="J24" s="55">
        <f t="shared" si="3"/>
        <v>18.98336589270833</v>
      </c>
      <c r="K24" s="55">
        <f t="shared" si="4"/>
        <v>18.806471946961842</v>
      </c>
      <c r="L24" s="55">
        <f t="shared" si="5"/>
        <v>0.044535815187051304</v>
      </c>
      <c r="M24" s="74">
        <f t="shared" si="6"/>
        <v>0.044120814174059185</v>
      </c>
    </row>
    <row r="25" spans="1:13" ht="15">
      <c r="A25" s="32">
        <v>2033</v>
      </c>
      <c r="B25" s="32">
        <v>19</v>
      </c>
      <c r="C25" s="120">
        <f t="shared" si="0"/>
        <v>63.49850165299537</v>
      </c>
      <c r="D25" s="196">
        <f>D24-(D24*'Table 5'!$F$16)</f>
        <v>0.9811700348643991</v>
      </c>
      <c r="E25" s="196">
        <f>E24-(E24*'Table 3'!$B$22)</f>
        <v>0.9091562615825303</v>
      </c>
      <c r="F25" s="205">
        <f>F24-(F24*'Table 3'!$B$22)</f>
        <v>1319.8173025128365</v>
      </c>
      <c r="G25" s="55">
        <f t="shared" si="1"/>
        <v>58.837977442827096</v>
      </c>
      <c r="H25" s="55">
        <f t="shared" si="2"/>
        <v>58.231413947876916</v>
      </c>
      <c r="I25" s="196">
        <f>1/(1+'Table 5'!$B$5)^B25</f>
        <v>0.3017051274183095</v>
      </c>
      <c r="J25" s="55">
        <f t="shared" si="3"/>
        <v>17.75171948142377</v>
      </c>
      <c r="K25" s="55">
        <f t="shared" si="4"/>
        <v>17.568716164892532</v>
      </c>
      <c r="L25" s="55">
        <f t="shared" si="5"/>
        <v>0.044580395582633936</v>
      </c>
      <c r="M25" s="74">
        <f t="shared" si="6"/>
        <v>0.044120814174059185</v>
      </c>
    </row>
    <row r="26" spans="1:13" ht="15">
      <c r="A26" s="32">
        <v>2034</v>
      </c>
      <c r="B26" s="32">
        <v>20</v>
      </c>
      <c r="C26" s="120">
        <f t="shared" si="0"/>
        <v>63.49850165299537</v>
      </c>
      <c r="D26" s="196">
        <f>D25-(D25*'Table 5'!$F$16)</f>
        <v>0.9801888648295347</v>
      </c>
      <c r="E26" s="196">
        <f>E25-(E25*'Table 3'!$B$22)</f>
        <v>0.9046104802746177</v>
      </c>
      <c r="F26" s="205">
        <f>F25-(F25*'Table 3'!$B$22)</f>
        <v>1313.2182160002724</v>
      </c>
      <c r="G26" s="55">
        <f t="shared" si="1"/>
        <v>58.60238994555852</v>
      </c>
      <c r="H26" s="55">
        <f t="shared" si="2"/>
        <v>57.94025687813753</v>
      </c>
      <c r="I26" s="196">
        <f>1/(1+'Table 5'!$B$5)^B26</f>
        <v>0.2832646018386156</v>
      </c>
      <c r="J26" s="55">
        <f t="shared" si="3"/>
        <v>16.599982654719927</v>
      </c>
      <c r="K26" s="55">
        <f t="shared" si="4"/>
        <v>16.41242379501274</v>
      </c>
      <c r="L26" s="55">
        <f t="shared" si="5"/>
        <v>0.04462502060323718</v>
      </c>
      <c r="M26" s="74">
        <f t="shared" si="6"/>
        <v>0.044120814174059185</v>
      </c>
    </row>
    <row r="27" spans="1:13" ht="15">
      <c r="A27" s="32">
        <v>2035</v>
      </c>
      <c r="B27" s="32">
        <v>21</v>
      </c>
      <c r="C27" s="120">
        <f t="shared" si="0"/>
        <v>63.49850165299537</v>
      </c>
      <c r="D27" s="196">
        <f>D26-(D26*'Table 5'!$F$16)</f>
        <v>0.9792086759647052</v>
      </c>
      <c r="E27" s="196">
        <f>E26-(E26*'Table 3'!$B$22)</f>
        <v>0.9000874278732446</v>
      </c>
      <c r="F27" s="205">
        <f>F26-(F26*'Table 3'!$B$22)</f>
        <v>1306.652124920271</v>
      </c>
      <c r="G27" s="55">
        <f t="shared" si="1"/>
        <v>58.36774574157231</v>
      </c>
      <c r="H27" s="55">
        <f t="shared" si="2"/>
        <v>57.650555593746844</v>
      </c>
      <c r="I27" s="196">
        <f>1/(1+'Table 5'!$B$5)^B27</f>
        <v>0.2659511800193556</v>
      </c>
      <c r="J27" s="55">
        <f t="shared" si="3"/>
        <v>15.522970855040871</v>
      </c>
      <c r="K27" s="55">
        <f t="shared" si="4"/>
        <v>15.332233288928434</v>
      </c>
      <c r="L27" s="55">
        <f t="shared" si="5"/>
        <v>0.04466969029353071</v>
      </c>
      <c r="M27" s="74">
        <f t="shared" si="6"/>
        <v>0.044120814174059185</v>
      </c>
    </row>
    <row r="28" spans="1:13" ht="15">
      <c r="A28" s="32">
        <v>2036</v>
      </c>
      <c r="B28" s="32">
        <v>22</v>
      </c>
      <c r="C28" s="120">
        <f t="shared" si="0"/>
        <v>63.49850165299537</v>
      </c>
      <c r="D28" s="196">
        <f>D27-(D27*'Table 5'!$F$16)</f>
        <v>0.9782294672887405</v>
      </c>
      <c r="E28" s="196">
        <f>E27-(E27*'Table 3'!$B$22)</f>
        <v>0.8955869907338784</v>
      </c>
      <c r="F28" s="205">
        <f>F27-(F27*'Table 3'!$B$22)</f>
        <v>1300.1188642956697</v>
      </c>
      <c r="G28" s="55">
        <f t="shared" si="1"/>
        <v>58.13404105391836</v>
      </c>
      <c r="H28" s="55">
        <f t="shared" si="2"/>
        <v>57.362302815778115</v>
      </c>
      <c r="I28" s="196">
        <f>1/(1+'Table 5'!$B$5)^B28</f>
        <v>0.24969597222735485</v>
      </c>
      <c r="J28" s="55">
        <f t="shared" si="3"/>
        <v>14.515835900463106</v>
      </c>
      <c r="K28" s="55">
        <f t="shared" si="4"/>
        <v>14.323135970785652</v>
      </c>
      <c r="L28" s="55">
        <f t="shared" si="5"/>
        <v>0.04471440469822893</v>
      </c>
      <c r="M28" s="74">
        <f t="shared" si="6"/>
        <v>0.044120814174059185</v>
      </c>
    </row>
    <row r="29" spans="1:13" ht="15">
      <c r="A29" s="32">
        <v>2037</v>
      </c>
      <c r="B29" s="32">
        <v>23</v>
      </c>
      <c r="C29" s="120">
        <f t="shared" si="0"/>
        <v>63.49850165299537</v>
      </c>
      <c r="D29" s="196">
        <f>D28-(D28*'Table 5'!$F$16)</f>
        <v>0.9772512378214517</v>
      </c>
      <c r="E29" s="196">
        <f>E28-(E28*'Table 3'!$B$22)</f>
        <v>0.8911090557802089</v>
      </c>
      <c r="F29" s="205">
        <f>F28-(F28*'Table 3'!$B$22)</f>
        <v>1293.6182699741914</v>
      </c>
      <c r="G29" s="55">
        <f t="shared" si="1"/>
        <v>57.901272120769534</v>
      </c>
      <c r="H29" s="55">
        <f t="shared" si="2"/>
        <v>57.07549130169922</v>
      </c>
      <c r="I29" s="196">
        <f>1/(1+'Table 5'!$B$5)^B29</f>
        <v>0.23443429934030127</v>
      </c>
      <c r="J29" s="55">
        <f t="shared" si="3"/>
        <v>13.574044160544725</v>
      </c>
      <c r="K29" s="55">
        <f t="shared" si="4"/>
        <v>13.380452812817317</v>
      </c>
      <c r="L29" s="55">
        <f t="shared" si="5"/>
        <v>0.04475916386209102</v>
      </c>
      <c r="M29" s="74">
        <f t="shared" si="6"/>
        <v>0.044120814174059185</v>
      </c>
    </row>
    <row r="30" spans="1:13" ht="15">
      <c r="A30" s="32">
        <v>2038</v>
      </c>
      <c r="B30" s="32">
        <v>24</v>
      </c>
      <c r="C30" s="120">
        <f t="shared" si="0"/>
        <v>63.49850165299537</v>
      </c>
      <c r="D30" s="196">
        <f>D29-(D29*'Table 5'!$F$16)</f>
        <v>0.9762739865836303</v>
      </c>
      <c r="E30" s="196">
        <f>E29-(E29*'Table 3'!$B$22)</f>
        <v>0.8866535105013079</v>
      </c>
      <c r="F30" s="205">
        <f>F29-(F29*'Table 3'!$B$22)</f>
        <v>1287.1501786243205</v>
      </c>
      <c r="G30" s="55">
        <f t="shared" si="1"/>
        <v>57.669435195361054</v>
      </c>
      <c r="H30" s="55">
        <f t="shared" si="2"/>
        <v>56.79011384519073</v>
      </c>
      <c r="I30" s="196">
        <f>1/(1+'Table 5'!$B$5)^B30</f>
        <v>0.2201054354899082</v>
      </c>
      <c r="J30" s="55">
        <f t="shared" si="3"/>
        <v>12.693356148131985</v>
      </c>
      <c r="K30" s="55">
        <f t="shared" si="4"/>
        <v>12.499812739417171</v>
      </c>
      <c r="L30" s="55">
        <f t="shared" si="5"/>
        <v>0.044803967829920945</v>
      </c>
      <c r="M30" s="74">
        <f t="shared" si="6"/>
        <v>0.044120814174059185</v>
      </c>
    </row>
    <row r="31" spans="12:13" ht="15">
      <c r="L31" s="65">
        <f>NPV(0.08,L6:L30)</f>
        <v>0.47079353554844017</v>
      </c>
      <c r="M31" t="s">
        <v>152</v>
      </c>
    </row>
    <row r="32" spans="12:13" ht="15" thickBot="1">
      <c r="L32" s="97">
        <f>PMT(0.08,25,L31)*-1</f>
        <v>0.04410336359573723</v>
      </c>
      <c r="M32" t="s">
        <v>163</v>
      </c>
    </row>
    <row r="33" spans="2:11" ht="15" thickBot="1">
      <c r="B33" s="38"/>
      <c r="C33" s="38"/>
      <c r="D33" s="38"/>
      <c r="G33" s="49" t="s">
        <v>144</v>
      </c>
      <c r="H33" s="50"/>
      <c r="I33" s="50"/>
      <c r="J33" s="75">
        <f>SUM(J6:J32)</f>
        <v>795.7530537322934</v>
      </c>
      <c r="K33" s="76">
        <f>SUM(K6:K32)</f>
        <v>795.7530537322937</v>
      </c>
    </row>
    <row r="34" spans="2:11" ht="15" thickBot="1">
      <c r="B34" s="38"/>
      <c r="C34" s="38"/>
      <c r="D34" s="38"/>
      <c r="G34" s="92"/>
      <c r="H34" s="93"/>
      <c r="I34" s="93"/>
      <c r="J34" s="94"/>
      <c r="K34" s="94"/>
    </row>
    <row r="35" spans="2:11" ht="15" thickBot="1">
      <c r="B35" s="38"/>
      <c r="C35" s="38"/>
      <c r="D35" s="38"/>
      <c r="G35" s="49" t="s">
        <v>167</v>
      </c>
      <c r="H35" s="83"/>
      <c r="I35" s="90">
        <f>SUMPRODUCT(G6:G30,I6:I30)/SUMPRODUCT(F6:F30,I6:I30)</f>
        <v>0.044120814174059185</v>
      </c>
      <c r="J35" s="94"/>
      <c r="K35" s="94"/>
    </row>
    <row r="36" spans="2:11" ht="15">
      <c r="B36" s="38"/>
      <c r="C36" s="38"/>
      <c r="D36" s="38"/>
      <c r="G36" s="92"/>
      <c r="H36" s="93"/>
      <c r="I36" s="93"/>
      <c r="J36" s="94"/>
      <c r="K36" s="94"/>
    </row>
    <row r="37" spans="2:11" ht="15">
      <c r="B37" s="38"/>
      <c r="C37" s="38"/>
      <c r="D37" s="38"/>
      <c r="G37" s="92"/>
      <c r="H37" s="93"/>
      <c r="I37" s="93"/>
      <c r="J37" s="94"/>
      <c r="K37" s="94"/>
    </row>
    <row r="38" ht="15">
      <c r="A38" s="38" t="s">
        <v>155</v>
      </c>
    </row>
    <row r="39" spans="1:16" ht="15">
      <c r="A39" s="22"/>
      <c r="B39" s="22"/>
      <c r="C39" s="22"/>
      <c r="D39" s="22"/>
      <c r="E39" s="22"/>
      <c r="F39" s="22"/>
      <c r="G39" s="22"/>
      <c r="N39" s="22"/>
      <c r="P39" s="127" t="s">
        <v>470</v>
      </c>
    </row>
    <row r="40" spans="1:16" ht="15">
      <c r="A40" s="22" t="s">
        <v>463</v>
      </c>
      <c r="B40" s="22"/>
      <c r="C40" s="22"/>
      <c r="D40" s="22"/>
      <c r="E40" s="22"/>
      <c r="F40" s="22"/>
      <c r="G40" s="22"/>
      <c r="N40" s="22" t="s">
        <v>465</v>
      </c>
      <c r="P40" s="212">
        <f>'Table 5'!F9</f>
        <v>882</v>
      </c>
    </row>
    <row r="41" spans="1:16" ht="15">
      <c r="A41" s="22" t="s">
        <v>464</v>
      </c>
      <c r="B41" s="22"/>
      <c r="C41" s="22"/>
      <c r="D41" s="22"/>
      <c r="E41" s="22"/>
      <c r="F41" s="22"/>
      <c r="G41" s="22"/>
      <c r="N41" t="s">
        <v>466</v>
      </c>
      <c r="P41" s="212">
        <f>'Table 5'!F13</f>
        <v>6950.1640179988</v>
      </c>
    </row>
    <row r="42" spans="1:16" ht="15">
      <c r="A42" s="22"/>
      <c r="B42" s="22"/>
      <c r="C42" s="22"/>
      <c r="D42" s="22"/>
      <c r="E42" s="22"/>
      <c r="F42" s="22"/>
      <c r="G42" s="22"/>
      <c r="N42" s="22" t="s">
        <v>467</v>
      </c>
      <c r="P42" s="212">
        <f>'Table 5'!F10</f>
        <v>6777</v>
      </c>
    </row>
    <row r="43" spans="14:16" ht="15">
      <c r="N43" s="22" t="s">
        <v>468</v>
      </c>
      <c r="P43" s="212">
        <f>'Table 5'!F5</f>
        <v>640</v>
      </c>
    </row>
    <row r="44" spans="1:16" ht="15">
      <c r="A44" s="22"/>
      <c r="B44" s="22"/>
      <c r="C44" s="22"/>
      <c r="D44" s="22"/>
      <c r="E44" s="22"/>
      <c r="F44" s="22"/>
      <c r="G44" s="22"/>
      <c r="N44" s="22" t="s">
        <v>469</v>
      </c>
      <c r="P44" s="212">
        <f>'Table 5'!F6</f>
        <v>9796</v>
      </c>
    </row>
    <row r="45" spans="1:8" ht="15">
      <c r="A45" s="22"/>
      <c r="B45" s="22"/>
      <c r="C45" s="22"/>
      <c r="D45" s="22"/>
      <c r="E45" s="22"/>
      <c r="F45" s="22"/>
      <c r="G45" s="22"/>
      <c r="H45" s="22"/>
    </row>
    <row r="46" spans="1:8" ht="15">
      <c r="A46" s="22"/>
      <c r="B46" s="22"/>
      <c r="C46" s="22"/>
      <c r="D46" s="22"/>
      <c r="E46" s="22"/>
      <c r="F46" s="22"/>
      <c r="G46" s="22"/>
      <c r="H46" s="22"/>
    </row>
    <row r="47" spans="1:16" ht="15">
      <c r="A47" s="22"/>
      <c r="B47" s="22"/>
      <c r="C47" s="22"/>
      <c r="D47" s="22"/>
      <c r="E47" s="22"/>
      <c r="F47" s="22"/>
      <c r="G47" s="22"/>
      <c r="H47" s="22"/>
      <c r="N47" s="22" t="s">
        <v>471</v>
      </c>
      <c r="O47" s="22">
        <f>P40+(P41-P42)*((P43-P40)/(P44-P42))</f>
        <v>868.1193466857537</v>
      </c>
      <c r="P47" s="22"/>
    </row>
    <row r="48" spans="1:5" ht="15">
      <c r="A48" s="22"/>
      <c r="B48" s="22"/>
      <c r="C48" s="22"/>
      <c r="D48" s="22"/>
      <c r="E48" s="22"/>
    </row>
    <row r="49" spans="2:4" ht="15" thickBot="1">
      <c r="B49" s="148" t="s">
        <v>605</v>
      </c>
      <c r="C49" s="148"/>
      <c r="D49" s="148"/>
    </row>
    <row r="50" spans="2:15" ht="15" thickBot="1">
      <c r="B50" s="22" t="s">
        <v>472</v>
      </c>
      <c r="C50" s="22" t="s">
        <v>473</v>
      </c>
      <c r="D50" s="22"/>
      <c r="E50" s="22"/>
      <c r="F50" s="22"/>
      <c r="G50" s="22"/>
      <c r="H50" s="22"/>
      <c r="M50" s="209" t="s">
        <v>177</v>
      </c>
      <c r="N50" s="211" t="s">
        <v>229</v>
      </c>
      <c r="O50" s="210">
        <f>PMT('Table 5'!B5,'Table 5'!F15,O47)*-1</f>
        <v>63.49850165299537</v>
      </c>
    </row>
    <row r="52" ht="15">
      <c r="A52" t="s">
        <v>597</v>
      </c>
    </row>
    <row r="53" ht="15">
      <c r="A53" t="s">
        <v>598</v>
      </c>
    </row>
    <row r="54" ht="15">
      <c r="A54" t="s">
        <v>599</v>
      </c>
    </row>
    <row r="56" ht="15">
      <c r="A56" t="s">
        <v>600</v>
      </c>
    </row>
    <row r="57" ht="15">
      <c r="A57" t="s">
        <v>601</v>
      </c>
    </row>
    <row r="58" ht="15">
      <c r="A58" t="s">
        <v>602</v>
      </c>
    </row>
    <row r="59" ht="15">
      <c r="A59" t="s">
        <v>603</v>
      </c>
    </row>
    <row r="60" ht="15">
      <c r="A60" t="s">
        <v>604</v>
      </c>
    </row>
  </sheetData>
  <mergeCells count="6">
    <mergeCell ref="A1:M1"/>
    <mergeCell ref="A4:A5"/>
    <mergeCell ref="G3:H3"/>
    <mergeCell ref="J3:K3"/>
    <mergeCell ref="L3:M3"/>
    <mergeCell ref="A2:M2"/>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topLeftCell="A1">
      <selection activeCell="C6" sqref="C6"/>
    </sheetView>
  </sheetViews>
  <sheetFormatPr defaultColWidth="9.140625" defaultRowHeight="15"/>
  <cols>
    <col min="6" max="6" width="13.28125" style="0" customWidth="1"/>
    <col min="7" max="7" width="14.8515625" style="0" customWidth="1"/>
    <col min="8" max="8" width="11.28125" style="0" customWidth="1"/>
    <col min="10" max="11" width="11.57421875" style="0" bestFit="1" customWidth="1"/>
    <col min="12" max="12" width="14.57421875" style="0" customWidth="1"/>
    <col min="13" max="13" width="9.57421875" style="0" bestFit="1" customWidth="1"/>
  </cols>
  <sheetData>
    <row r="1" spans="1:13" ht="15">
      <c r="A1" s="260"/>
      <c r="B1" s="260"/>
      <c r="C1" s="260"/>
      <c r="D1" s="260"/>
      <c r="E1" s="260"/>
      <c r="F1" s="260"/>
      <c r="G1" s="260"/>
      <c r="H1" s="260"/>
      <c r="I1" s="260"/>
      <c r="J1" s="260"/>
      <c r="K1" s="260"/>
      <c r="L1" s="260"/>
      <c r="M1" s="260"/>
    </row>
    <row r="2" spans="1:13" ht="15">
      <c r="A2" s="260" t="s">
        <v>607</v>
      </c>
      <c r="B2" s="260"/>
      <c r="C2" s="260"/>
      <c r="D2" s="260"/>
      <c r="E2" s="260"/>
      <c r="F2" s="260"/>
      <c r="G2" s="260"/>
      <c r="H2" s="260"/>
      <c r="I2" s="260"/>
      <c r="J2" s="260"/>
      <c r="K2" s="260"/>
      <c r="L2" s="260"/>
      <c r="M2" s="260"/>
    </row>
    <row r="3" spans="3:13" ht="15">
      <c r="C3" s="60"/>
      <c r="D3" s="60"/>
      <c r="E3" s="60"/>
      <c r="F3" s="60"/>
      <c r="G3" s="266" t="s">
        <v>126</v>
      </c>
      <c r="H3" s="266"/>
      <c r="I3" s="60"/>
      <c r="J3" s="266" t="s">
        <v>129</v>
      </c>
      <c r="K3" s="266"/>
      <c r="L3" s="266" t="s">
        <v>122</v>
      </c>
      <c r="M3" s="266"/>
    </row>
    <row r="4" spans="1:20" ht="28.8">
      <c r="A4" s="262" t="s">
        <v>39</v>
      </c>
      <c r="B4" s="57" t="s">
        <v>134</v>
      </c>
      <c r="C4" s="61" t="s">
        <v>153</v>
      </c>
      <c r="D4" s="61" t="s">
        <v>157</v>
      </c>
      <c r="E4" s="61" t="s">
        <v>138</v>
      </c>
      <c r="F4" s="61" t="s">
        <v>125</v>
      </c>
      <c r="G4" s="61" t="s">
        <v>127</v>
      </c>
      <c r="H4" s="61" t="s">
        <v>124</v>
      </c>
      <c r="I4" s="61" t="s">
        <v>140</v>
      </c>
      <c r="J4" s="61" t="s">
        <v>158</v>
      </c>
      <c r="K4" s="61" t="s">
        <v>124</v>
      </c>
      <c r="L4" s="61" t="s">
        <v>127</v>
      </c>
      <c r="M4" s="61" t="s">
        <v>124</v>
      </c>
      <c r="N4" s="33"/>
      <c r="O4" s="33"/>
      <c r="P4" s="33"/>
      <c r="Q4" s="33"/>
      <c r="R4" s="33"/>
      <c r="S4" s="1"/>
      <c r="T4" s="1"/>
    </row>
    <row r="5" spans="1:13" ht="15">
      <c r="A5" s="262"/>
      <c r="B5" s="58"/>
      <c r="C5" s="62" t="s">
        <v>154</v>
      </c>
      <c r="D5" s="62" t="s">
        <v>141</v>
      </c>
      <c r="E5" s="62" t="s">
        <v>142</v>
      </c>
      <c r="F5" s="62" t="s">
        <v>132</v>
      </c>
      <c r="G5" s="62" t="s">
        <v>133</v>
      </c>
      <c r="H5" s="62" t="s">
        <v>133</v>
      </c>
      <c r="J5" s="62" t="s">
        <v>133</v>
      </c>
      <c r="K5" s="62" t="s">
        <v>133</v>
      </c>
      <c r="L5" s="62" t="s">
        <v>131</v>
      </c>
      <c r="M5" s="62" t="s">
        <v>159</v>
      </c>
    </row>
    <row r="6" spans="1:13" ht="15">
      <c r="A6" s="32">
        <v>2014</v>
      </c>
      <c r="B6" s="59">
        <v>0</v>
      </c>
      <c r="C6" s="120">
        <f>'Table 11'!$O$50</f>
        <v>63.49850165299537</v>
      </c>
      <c r="D6" s="19">
        <v>1</v>
      </c>
      <c r="E6" s="19">
        <v>1</v>
      </c>
      <c r="F6" s="77">
        <f>'Table 5'!B15</f>
        <v>1451.69467371372</v>
      </c>
      <c r="G6" s="55">
        <f>((C6*E6)/D6)*'Table 5'!$F$20</f>
        <v>4.6353906206686615</v>
      </c>
      <c r="H6" s="73">
        <f>F6*M6</f>
        <v>4.6756464183567985</v>
      </c>
      <c r="I6" s="19">
        <v>1</v>
      </c>
      <c r="J6" s="79">
        <f>G6*I6</f>
        <v>4.6353906206686615</v>
      </c>
      <c r="K6" s="79">
        <f>H6*I6</f>
        <v>4.6756464183567985</v>
      </c>
      <c r="L6" s="79">
        <f>G6/F6</f>
        <v>0.003193089225029959</v>
      </c>
      <c r="M6" s="80">
        <f>$K$34</f>
        <v>0.0032208194347063193</v>
      </c>
    </row>
    <row r="7" spans="1:13" ht="15">
      <c r="A7" s="32">
        <v>2015</v>
      </c>
      <c r="B7" s="59">
        <v>1</v>
      </c>
      <c r="C7" s="120">
        <f>'Table 11'!$O$50</f>
        <v>63.49850165299537</v>
      </c>
      <c r="D7" s="19">
        <f>D6-(D6*'Table 5'!$F$16)</f>
        <v>0.999</v>
      </c>
      <c r="E7" s="19">
        <f>E6-(E6*'Table 3'!$B$22)</f>
        <v>0.995</v>
      </c>
      <c r="F7" s="77">
        <f>F6-(F6*'Table 3'!$B$22)</f>
        <v>1444.4362003451515</v>
      </c>
      <c r="G7" s="201">
        <f>((C7*E7)/D7)*'Table 5'!$F$20</f>
        <v>4.616830498063382</v>
      </c>
      <c r="H7" s="73">
        <f aca="true" t="shared" si="0" ref="H7:H30">F7*M7</f>
        <v>4.652268186265014</v>
      </c>
      <c r="I7" s="19">
        <f>1/(1+'Table 5'!$B$5)^B7</f>
        <v>0.9388789784996715</v>
      </c>
      <c r="J7" s="79">
        <f aca="true" t="shared" si="1" ref="J7:J30">G7*I7</f>
        <v>4.334645101927878</v>
      </c>
      <c r="K7" s="79">
        <f aca="true" t="shared" si="2" ref="K7:K30">H7*I7</f>
        <v>4.3679168024270165</v>
      </c>
      <c r="L7" s="79">
        <f aca="true" t="shared" si="3" ref="L7:L30">G7/F7</f>
        <v>0.0031962855105404993</v>
      </c>
      <c r="M7" s="80">
        <f aca="true" t="shared" si="4" ref="M7:M30">$K$34</f>
        <v>0.0032208194347063193</v>
      </c>
    </row>
    <row r="8" spans="1:13" ht="15">
      <c r="A8" s="32">
        <v>2016</v>
      </c>
      <c r="B8" s="59">
        <v>2</v>
      </c>
      <c r="C8" s="120">
        <f>'Table 11'!$O$50</f>
        <v>63.49850165299537</v>
      </c>
      <c r="D8" s="196">
        <f>D7-(D7*'Table 5'!$F$16)</f>
        <v>0.998001</v>
      </c>
      <c r="E8" s="196">
        <f>E7-(E7*'Table 3'!$B$22)</f>
        <v>0.990025</v>
      </c>
      <c r="F8" s="205">
        <f>F7-(F7*'Table 3'!$B$22)</f>
        <v>1437.2140193434257</v>
      </c>
      <c r="G8" s="201">
        <f>((C8*E8)/D8)*'Table 5'!$F$20</f>
        <v>4.598344690263329</v>
      </c>
      <c r="H8" s="73">
        <f t="shared" si="0"/>
        <v>4.62900684533369</v>
      </c>
      <c r="I8" s="196">
        <f>1/(1+'Table 5'!$B$5)^B8</f>
        <v>0.8814937362685866</v>
      </c>
      <c r="J8" s="79">
        <f t="shared" si="1"/>
        <v>4.053412041671039</v>
      </c>
      <c r="K8" s="79">
        <f t="shared" si="2"/>
        <v>4.080440539306058</v>
      </c>
      <c r="L8" s="79">
        <f t="shared" si="3"/>
        <v>0.0031994849955360363</v>
      </c>
      <c r="M8" s="80">
        <f t="shared" si="4"/>
        <v>0.0032208194347063193</v>
      </c>
    </row>
    <row r="9" spans="1:13" ht="15">
      <c r="A9" s="32">
        <v>2017</v>
      </c>
      <c r="B9" s="59">
        <v>3</v>
      </c>
      <c r="C9" s="120">
        <f>'Table 11'!$O$50</f>
        <v>63.49850165299537</v>
      </c>
      <c r="D9" s="196">
        <f>D8-(D8*'Table 5'!$F$16)</f>
        <v>0.997002999</v>
      </c>
      <c r="E9" s="196">
        <f>E8-(E8*'Table 3'!$B$22)</f>
        <v>0.985074875</v>
      </c>
      <c r="F9" s="205">
        <f>F8-(F8*'Table 3'!$B$22)</f>
        <v>1430.0279492467084</v>
      </c>
      <c r="G9" s="201">
        <f>((C9*E9)/D9)*'Table 5'!$F$20</f>
        <v>4.579932899711723</v>
      </c>
      <c r="H9" s="73">
        <f t="shared" si="0"/>
        <v>4.605861811107021</v>
      </c>
      <c r="I9" s="196">
        <f>1/(1+'Table 5'!$B$5)^B9</f>
        <v>0.8276159386617093</v>
      </c>
      <c r="J9" s="79">
        <f t="shared" si="1"/>
        <v>3.7904254658025622</v>
      </c>
      <c r="K9" s="79">
        <f t="shared" si="2"/>
        <v>3.8118846461454576</v>
      </c>
      <c r="L9" s="79">
        <f t="shared" si="3"/>
        <v>0.003202687683219255</v>
      </c>
      <c r="M9" s="80">
        <f t="shared" si="4"/>
        <v>0.0032208194347063193</v>
      </c>
    </row>
    <row r="10" spans="1:13" ht="15">
      <c r="A10" s="32">
        <v>2018</v>
      </c>
      <c r="B10" s="59">
        <v>4</v>
      </c>
      <c r="C10" s="120">
        <f>'Table 11'!$O$50</f>
        <v>63.49850165299537</v>
      </c>
      <c r="D10" s="196">
        <f>D9-(D9*'Table 5'!$F$16)</f>
        <v>0.996005996001</v>
      </c>
      <c r="E10" s="196">
        <f>E9-(E9*'Table 3'!$B$22)</f>
        <v>0.9801495006250001</v>
      </c>
      <c r="F10" s="205">
        <f>F9-(F9*'Table 3'!$B$22)</f>
        <v>1422.877809500475</v>
      </c>
      <c r="G10" s="201">
        <f>((C10*E10)/D10)*'Table 5'!$F$20</f>
        <v>4.561594830043208</v>
      </c>
      <c r="H10" s="73">
        <f t="shared" si="0"/>
        <v>4.5828325020514855</v>
      </c>
      <c r="I10" s="196">
        <f>1/(1+'Table 5'!$B$5)^B10</f>
        <v>0.7770312070807525</v>
      </c>
      <c r="J10" s="79">
        <f t="shared" si="1"/>
        <v>3.5445015370017936</v>
      </c>
      <c r="K10" s="79">
        <f t="shared" si="2"/>
        <v>3.561003870917971</v>
      </c>
      <c r="L10" s="79">
        <f t="shared" si="3"/>
        <v>0.003205893576796051</v>
      </c>
      <c r="M10" s="80">
        <f t="shared" si="4"/>
        <v>0.0032208194347063193</v>
      </c>
    </row>
    <row r="11" spans="1:13" ht="15">
      <c r="A11" s="32">
        <v>2019</v>
      </c>
      <c r="B11" s="59">
        <v>5</v>
      </c>
      <c r="C11" s="120">
        <f>'Table 11'!$O$50</f>
        <v>63.49850165299537</v>
      </c>
      <c r="D11" s="196">
        <f>D10-(D10*'Table 5'!$F$16)</f>
        <v>0.995009990004999</v>
      </c>
      <c r="E11" s="196">
        <f>E10-(E10*'Table 3'!$B$22)</f>
        <v>0.9752487531218751</v>
      </c>
      <c r="F11" s="205">
        <f>F10-(F10*'Table 3'!$B$22)</f>
        <v>1415.7634204529727</v>
      </c>
      <c r="G11" s="201">
        <f>((C11*E11)/D11)*'Table 5'!$F$20</f>
        <v>4.543330186079071</v>
      </c>
      <c r="H11" s="73">
        <f t="shared" si="0"/>
        <v>4.559918339541229</v>
      </c>
      <c r="I11" s="196">
        <f>1/(1+'Table 5'!$B$5)^B11</f>
        <v>0.7295382659663435</v>
      </c>
      <c r="J11" s="79">
        <f t="shared" si="1"/>
        <v>3.3145332256646705</v>
      </c>
      <c r="K11" s="79">
        <f t="shared" si="2"/>
        <v>3.3266349183770365</v>
      </c>
      <c r="L11" s="79">
        <f t="shared" si="3"/>
        <v>0.0032091026794755268</v>
      </c>
      <c r="M11" s="80">
        <f t="shared" si="4"/>
        <v>0.0032208194347063193</v>
      </c>
    </row>
    <row r="12" spans="1:13" ht="15">
      <c r="A12" s="32">
        <v>2020</v>
      </c>
      <c r="B12" s="59">
        <v>6</v>
      </c>
      <c r="C12" s="120">
        <f>'Table 11'!$O$50</f>
        <v>63.49850165299537</v>
      </c>
      <c r="D12" s="196">
        <f>D11-(D11*'Table 5'!$F$16)</f>
        <v>0.994014980014994</v>
      </c>
      <c r="E12" s="196">
        <f>E11-(E11*'Table 3'!$B$22)</f>
        <v>0.9703725093562657</v>
      </c>
      <c r="F12" s="205">
        <f>F11-(F11*'Table 3'!$B$22)</f>
        <v>1408.684603350708</v>
      </c>
      <c r="G12" s="201">
        <f>((C12*E12)/D12)*'Table 5'!$F$20</f>
        <v>4.525138673822499</v>
      </c>
      <c r="H12" s="73">
        <f t="shared" si="0"/>
        <v>4.537118747843523</v>
      </c>
      <c r="I12" s="196">
        <f>1/(1+'Table 5'!$B$5)^B12</f>
        <v>0.6849481419269022</v>
      </c>
      <c r="J12" s="79">
        <f t="shared" si="1"/>
        <v>3.0994853265962874</v>
      </c>
      <c r="K12" s="79">
        <f t="shared" si="2"/>
        <v>3.107691056037134</v>
      </c>
      <c r="L12" s="79">
        <f t="shared" si="3"/>
        <v>0.003212314994469997</v>
      </c>
      <c r="M12" s="80">
        <f t="shared" si="4"/>
        <v>0.0032208194347063193</v>
      </c>
    </row>
    <row r="13" spans="1:13" ht="15">
      <c r="A13" s="32">
        <v>2021</v>
      </c>
      <c r="B13" s="59">
        <v>7</v>
      </c>
      <c r="C13" s="120">
        <f>'Table 11'!$O$50</f>
        <v>63.49850165299537</v>
      </c>
      <c r="D13" s="196">
        <f>D12-(D12*'Table 5'!$F$16)</f>
        <v>0.993020965034979</v>
      </c>
      <c r="E13" s="196">
        <f>E12-(E12*'Table 3'!$B$22)</f>
        <v>0.9655206468094844</v>
      </c>
      <c r="F13" s="205">
        <f>F12-(F12*'Table 3'!$B$22)</f>
        <v>1401.6411803339543</v>
      </c>
      <c r="G13" s="201">
        <f>((C13*E13)/D13)*'Table 5'!$F$20</f>
        <v>4.507020000453839</v>
      </c>
      <c r="H13" s="73">
        <f t="shared" si="0"/>
        <v>4.514433154104305</v>
      </c>
      <c r="I13" s="196">
        <f>1/(1+'Table 5'!$B$5)^B13</f>
        <v>0.643083411817578</v>
      </c>
      <c r="J13" s="79">
        <f t="shared" si="1"/>
        <v>2.898389799021917</v>
      </c>
      <c r="K13" s="79">
        <f t="shared" si="2"/>
        <v>2.903157075163786</v>
      </c>
      <c r="L13" s="79">
        <f t="shared" si="3"/>
        <v>0.0032155305249949914</v>
      </c>
      <c r="M13" s="80">
        <f t="shared" si="4"/>
        <v>0.0032208194347063193</v>
      </c>
    </row>
    <row r="14" spans="1:13" ht="15">
      <c r="A14" s="32">
        <v>2022</v>
      </c>
      <c r="B14" s="59">
        <v>8</v>
      </c>
      <c r="C14" s="120">
        <f>'Table 11'!$O$50</f>
        <v>63.49850165299537</v>
      </c>
      <c r="D14" s="196">
        <f>D13-(D13*'Table 5'!$F$16)</f>
        <v>0.9920279440699441</v>
      </c>
      <c r="E14" s="196">
        <f>E13-(E13*'Table 3'!$B$22)</f>
        <v>0.960693043575437</v>
      </c>
      <c r="F14" s="205">
        <f>F13-(F13*'Table 3'!$B$22)</f>
        <v>1394.6329744322845</v>
      </c>
      <c r="G14" s="201">
        <f>((C14*E14)/D14)*'Table 5'!$F$20</f>
        <v>4.488973874325897</v>
      </c>
      <c r="H14" s="73">
        <f t="shared" si="0"/>
        <v>4.491860988333784</v>
      </c>
      <c r="I14" s="196">
        <f>1/(1+'Table 5'!$B$5)^B14</f>
        <v>0.6037774967773711</v>
      </c>
      <c r="J14" s="79">
        <f t="shared" si="1"/>
        <v>2.7103414089395073</v>
      </c>
      <c r="K14" s="79">
        <f t="shared" si="2"/>
        <v>2.7120845834081</v>
      </c>
      <c r="L14" s="79">
        <f t="shared" si="3"/>
        <v>0.003218749274269261</v>
      </c>
      <c r="M14" s="80">
        <f t="shared" si="4"/>
        <v>0.0032208194347063193</v>
      </c>
    </row>
    <row r="15" spans="1:13" ht="15">
      <c r="A15" s="32">
        <v>2023</v>
      </c>
      <c r="B15" s="59">
        <v>9</v>
      </c>
      <c r="C15" s="120">
        <f>'Table 11'!$O$50</f>
        <v>63.49850165299537</v>
      </c>
      <c r="D15" s="196">
        <f>D14-(D14*'Table 5'!$F$16)</f>
        <v>0.9910359161258742</v>
      </c>
      <c r="E15" s="196">
        <f>E14-(E14*'Table 3'!$B$22)</f>
        <v>0.9558895783575597</v>
      </c>
      <c r="F15" s="205">
        <f>F14-(F14*'Table 3'!$B$22)</f>
        <v>1387.659809560123</v>
      </c>
      <c r="G15" s="201">
        <f>((C15*E15)/D15)*'Table 5'!$F$20</f>
        <v>4.471000004959225</v>
      </c>
      <c r="H15" s="73">
        <f t="shared" si="0"/>
        <v>4.469401683392114</v>
      </c>
      <c r="I15" s="196">
        <f>1/(1+'Table 5'!$B$5)^B15</f>
        <v>0.5668739994154269</v>
      </c>
      <c r="J15" s="79">
        <f t="shared" si="1"/>
        <v>2.5344936541976297</v>
      </c>
      <c r="K15" s="79">
        <f t="shared" si="2"/>
        <v>2.5335876072585295</v>
      </c>
      <c r="L15" s="79">
        <f t="shared" si="3"/>
        <v>0.0032219712455147753</v>
      </c>
      <c r="M15" s="80">
        <f t="shared" si="4"/>
        <v>0.0032208194347063193</v>
      </c>
    </row>
    <row r="16" spans="1:13" ht="15">
      <c r="A16" s="32">
        <v>2024</v>
      </c>
      <c r="B16" s="59">
        <v>10</v>
      </c>
      <c r="C16" s="120">
        <f>'Table 11'!$O$50</f>
        <v>63.49850165299537</v>
      </c>
      <c r="D16" s="196">
        <f>D15-(D15*'Table 5'!$F$16)</f>
        <v>0.9900448802097482</v>
      </c>
      <c r="E16" s="196">
        <f>E15-(E15*'Table 3'!$B$22)</f>
        <v>0.951110130465772</v>
      </c>
      <c r="F16" s="205">
        <f>F15-(F15*'Table 3'!$B$22)</f>
        <v>1380.7215105123223</v>
      </c>
      <c r="G16" s="201">
        <f>((C16*E16)/D16)*'Table 5'!$F$20</f>
        <v>4.453098103037467</v>
      </c>
      <c r="H16" s="73">
        <f t="shared" si="0"/>
        <v>4.447054674975154</v>
      </c>
      <c r="I16" s="196">
        <f>1/(1+'Table 5'!$B$5)^B16</f>
        <v>0.5322260815091794</v>
      </c>
      <c r="J16" s="79">
        <f t="shared" si="1"/>
        <v>2.370054953955591</v>
      </c>
      <c r="K16" s="79">
        <f t="shared" si="2"/>
        <v>2.3668384839191035</v>
      </c>
      <c r="L16" s="79">
        <f t="shared" si="3"/>
        <v>0.0032251964419567325</v>
      </c>
      <c r="M16" s="80">
        <f t="shared" si="4"/>
        <v>0.0032208194347063193</v>
      </c>
    </row>
    <row r="17" spans="1:13" ht="15">
      <c r="A17" s="32">
        <v>2025</v>
      </c>
      <c r="B17" s="59">
        <v>11</v>
      </c>
      <c r="C17" s="120">
        <f>'Table 11'!$O$50</f>
        <v>63.49850165299537</v>
      </c>
      <c r="D17" s="196">
        <f>D16-(D16*'Table 5'!$F$16)</f>
        <v>0.9890548353295385</v>
      </c>
      <c r="E17" s="196">
        <f>E16-(E16*'Table 3'!$B$22)</f>
        <v>0.9463545798134431</v>
      </c>
      <c r="F17" s="205">
        <f>F16-(F16*'Table 3'!$B$22)</f>
        <v>1373.8179029597607</v>
      </c>
      <c r="G17" s="201">
        <f>((C17*E17)/D17)*'Table 5'!$F$20</f>
        <v>4.435267880402683</v>
      </c>
      <c r="H17" s="73">
        <f t="shared" si="0"/>
        <v>4.424819401600278</v>
      </c>
      <c r="I17" s="196">
        <f>1/(1+'Table 5'!$B$5)^B17</f>
        <v>0.49969587973822116</v>
      </c>
      <c r="J17" s="79">
        <f t="shared" si="1"/>
        <v>2.216285085372494</v>
      </c>
      <c r="K17" s="79">
        <f t="shared" si="2"/>
        <v>2.2110640235654</v>
      </c>
      <c r="L17" s="79">
        <f t="shared" si="3"/>
        <v>0.003228424866823556</v>
      </c>
      <c r="M17" s="80">
        <f t="shared" si="4"/>
        <v>0.0032208194347063193</v>
      </c>
    </row>
    <row r="18" spans="1:13" ht="15">
      <c r="A18" s="32">
        <v>2026</v>
      </c>
      <c r="B18" s="59">
        <v>12</v>
      </c>
      <c r="C18" s="120">
        <f>'Table 11'!$O$50</f>
        <v>63.49850165299537</v>
      </c>
      <c r="D18" s="196">
        <f>D17-(D17*'Table 5'!$F$16)</f>
        <v>0.988065780494209</v>
      </c>
      <c r="E18" s="196">
        <f>E17-(E17*'Table 3'!$B$22)</f>
        <v>0.9416228069143758</v>
      </c>
      <c r="F18" s="205">
        <f>F17-(F17*'Table 3'!$B$22)</f>
        <v>1366.9488134449618</v>
      </c>
      <c r="G18" s="201">
        <f>((C18*E18)/D18)*'Table 5'!$F$20</f>
        <v>4.41750905005072</v>
      </c>
      <c r="H18" s="73">
        <f t="shared" si="0"/>
        <v>4.402695304592276</v>
      </c>
      <c r="I18" s="196">
        <f>1/(1+'Table 5'!$B$5)^B18</f>
        <v>0.46915395712911584</v>
      </c>
      <c r="J18" s="79">
        <f t="shared" si="1"/>
        <v>2.0724918514849766</v>
      </c>
      <c r="K18" s="79">
        <f t="shared" si="2"/>
        <v>2.0655419241832442</v>
      </c>
      <c r="L18" s="79">
        <f t="shared" si="3"/>
        <v>0.003231656523346903</v>
      </c>
      <c r="M18" s="80">
        <f t="shared" si="4"/>
        <v>0.0032208194347063193</v>
      </c>
    </row>
    <row r="19" spans="1:13" ht="15">
      <c r="A19" s="32">
        <v>2027</v>
      </c>
      <c r="B19" s="59">
        <v>13</v>
      </c>
      <c r="C19" s="120">
        <f>'Table 11'!$O$50</f>
        <v>63.49850165299537</v>
      </c>
      <c r="D19" s="196">
        <f>D18-(D18*'Table 5'!$F$16)</f>
        <v>0.9870777147137147</v>
      </c>
      <c r="E19" s="196">
        <f>E18-(E18*'Table 3'!$B$22)</f>
        <v>0.936914692879804</v>
      </c>
      <c r="F19" s="205">
        <f>F18-(F18*'Table 3'!$B$22)</f>
        <v>1360.114069377737</v>
      </c>
      <c r="G19" s="201">
        <f>((C19*E19)/D19)*'Table 5'!$F$20</f>
        <v>4.3998213261265935</v>
      </c>
      <c r="H19" s="73">
        <f t="shared" si="0"/>
        <v>4.3806818280693145</v>
      </c>
      <c r="I19" s="196">
        <f>1/(1+'Table 5'!$B$5)^B19</f>
        <v>0.4404787880284629</v>
      </c>
      <c r="J19" s="79">
        <f t="shared" si="1"/>
        <v>1.9380279652740264</v>
      </c>
      <c r="K19" s="79">
        <f t="shared" si="2"/>
        <v>1.929597422366283</v>
      </c>
      <c r="L19" s="79">
        <f t="shared" si="3"/>
        <v>0.0032348914147616653</v>
      </c>
      <c r="M19" s="80">
        <f t="shared" si="4"/>
        <v>0.0032208194347063193</v>
      </c>
    </row>
    <row r="20" spans="1:13" ht="15">
      <c r="A20" s="32">
        <v>2028</v>
      </c>
      <c r="B20" s="59">
        <v>14</v>
      </c>
      <c r="C20" s="120">
        <f>'Table 11'!$O$50</f>
        <v>63.49850165299537</v>
      </c>
      <c r="D20" s="196">
        <f>D19-(D19*'Table 5'!$F$16)</f>
        <v>0.986090636999001</v>
      </c>
      <c r="E20" s="196">
        <f>E19-(E19*'Table 3'!$B$22)</f>
        <v>0.932230119415405</v>
      </c>
      <c r="F20" s="205">
        <f>F19-(F19*'Table 3'!$B$22)</f>
        <v>1353.3134990308483</v>
      </c>
      <c r="G20" s="201">
        <f>((C20*E20)/D20)*'Table 5'!$F$20</f>
        <v>4.38220442391988</v>
      </c>
      <c r="H20" s="73">
        <f t="shared" si="0"/>
        <v>4.358778418928968</v>
      </c>
      <c r="I20" s="196">
        <f>1/(1+'Table 5'!$B$5)^B20</f>
        <v>0.41355627455493654</v>
      </c>
      <c r="J20" s="79">
        <f t="shared" si="1"/>
        <v>1.8122881358944676</v>
      </c>
      <c r="K20" s="79">
        <f t="shared" si="2"/>
        <v>1.8026001645427205</v>
      </c>
      <c r="L20" s="79">
        <f t="shared" si="3"/>
        <v>0.003238129544305971</v>
      </c>
      <c r="M20" s="80">
        <f t="shared" si="4"/>
        <v>0.0032208194347063193</v>
      </c>
    </row>
    <row r="21" spans="1:13" ht="15">
      <c r="A21" s="32">
        <v>2029</v>
      </c>
      <c r="B21" s="59">
        <v>15</v>
      </c>
      <c r="C21" s="120">
        <f>'Table 11'!$O$50</f>
        <v>63.49850165299537</v>
      </c>
      <c r="D21" s="196">
        <f>D20-(D20*'Table 5'!$F$16)</f>
        <v>0.9851045463620021</v>
      </c>
      <c r="E21" s="196">
        <f>E20-(E20*'Table 3'!$B$22)</f>
        <v>0.927568968818328</v>
      </c>
      <c r="F21" s="205">
        <f>F20-(F20*'Table 3'!$B$22)</f>
        <v>1346.546931535694</v>
      </c>
      <c r="G21" s="201">
        <f>((C21*E21)/D21)*'Table 5'!$F$20</f>
        <v>4.36465805986014</v>
      </c>
      <c r="H21" s="73">
        <f t="shared" si="0"/>
        <v>4.336984526834323</v>
      </c>
      <c r="I21" s="196">
        <f>1/(1+'Table 5'!$B$5)^B21</f>
        <v>0.3882792926062686</v>
      </c>
      <c r="J21" s="79">
        <f t="shared" si="1"/>
        <v>1.694706343950744</v>
      </c>
      <c r="K21" s="79">
        <f t="shared" si="2"/>
        <v>1.6839612841235634</v>
      </c>
      <c r="L21" s="79">
        <f t="shared" si="3"/>
        <v>0.0032413709152211917</v>
      </c>
      <c r="M21" s="80">
        <f t="shared" si="4"/>
        <v>0.0032208194347063193</v>
      </c>
    </row>
    <row r="22" spans="1:13" ht="15">
      <c r="A22" s="32">
        <v>2030</v>
      </c>
      <c r="B22" s="59">
        <v>16</v>
      </c>
      <c r="C22" s="120">
        <f>'Table 11'!$O$50</f>
        <v>63.49850165299537</v>
      </c>
      <c r="D22" s="196">
        <f>D21-(D21*'Table 5'!$F$16)</f>
        <v>0.98411944181564</v>
      </c>
      <c r="E22" s="196">
        <f>E21-(E21*'Table 3'!$B$22)</f>
        <v>0.9229311239742363</v>
      </c>
      <c r="F22" s="205">
        <f>F21-(F21*'Table 3'!$B$22)</f>
        <v>1339.8141968780155</v>
      </c>
      <c r="G22" s="201">
        <f>((C22*E22)/D22)*'Table 5'!$F$20</f>
        <v>4.3471819515123515</v>
      </c>
      <c r="H22" s="73">
        <f t="shared" si="0"/>
        <v>4.315299604200151</v>
      </c>
      <c r="I22" s="196">
        <f>1/(1+'Table 5'!$B$5)^B22</f>
        <v>0.36454726561474843</v>
      </c>
      <c r="J22" s="79">
        <f t="shared" si="1"/>
        <v>1.5847532935536137</v>
      </c>
      <c r="K22" s="79">
        <f t="shared" si="2"/>
        <v>1.5731306710195712</v>
      </c>
      <c r="L22" s="79">
        <f t="shared" si="3"/>
        <v>0.003244615530751944</v>
      </c>
      <c r="M22" s="80">
        <f t="shared" si="4"/>
        <v>0.0032208194347063193</v>
      </c>
    </row>
    <row r="23" spans="1:13" ht="15">
      <c r="A23" s="32">
        <v>2031</v>
      </c>
      <c r="B23" s="59">
        <v>17</v>
      </c>
      <c r="C23" s="120">
        <f>'Table 11'!$O$50</f>
        <v>63.49850165299537</v>
      </c>
      <c r="D23" s="196">
        <f>D22-(D22*'Table 5'!$F$16)</f>
        <v>0.9831353223738244</v>
      </c>
      <c r="E23" s="196">
        <f>E22-(E22*'Table 3'!$B$22)</f>
        <v>0.9183164683543651</v>
      </c>
      <c r="F23" s="205">
        <f>F22-(F22*'Table 3'!$B$22)</f>
        <v>1333.1151258936254</v>
      </c>
      <c r="G23" s="201">
        <f>((C23*E23)/D23)*'Table 5'!$F$20</f>
        <v>4.329775817572362</v>
      </c>
      <c r="H23" s="73">
        <f t="shared" si="0"/>
        <v>4.293723106179151</v>
      </c>
      <c r="I23" s="196">
        <f>1/(1+'Table 5'!$B$5)^B23</f>
        <v>0.34226576435522343</v>
      </c>
      <c r="J23" s="79">
        <f t="shared" si="1"/>
        <v>1.4819340296881671</v>
      </c>
      <c r="K23" s="79">
        <f t="shared" si="2"/>
        <v>1.4695944208660912</v>
      </c>
      <c r="L23" s="79">
        <f t="shared" si="3"/>
        <v>0.00324786339414609</v>
      </c>
      <c r="M23" s="80">
        <f t="shared" si="4"/>
        <v>0.0032208194347063193</v>
      </c>
    </row>
    <row r="24" spans="1:13" ht="15">
      <c r="A24" s="32">
        <v>2032</v>
      </c>
      <c r="B24" s="59">
        <v>18</v>
      </c>
      <c r="C24" s="120">
        <f>'Table 11'!$O$50</f>
        <v>63.49850165299537</v>
      </c>
      <c r="D24" s="196">
        <f>D23-(D23*'Table 5'!$F$16)</f>
        <v>0.9821521870514506</v>
      </c>
      <c r="E24" s="196">
        <f>E23-(E23*'Table 3'!$B$22)</f>
        <v>0.9137248860125933</v>
      </c>
      <c r="F24" s="205">
        <f>F23-(F23*'Table 3'!$B$22)</f>
        <v>1326.4495502641573</v>
      </c>
      <c r="G24" s="201">
        <f>((C24*E24)/D24)*'Table 5'!$F$20</f>
        <v>4.312439377862363</v>
      </c>
      <c r="H24" s="73">
        <f t="shared" si="0"/>
        <v>4.272254490648255</v>
      </c>
      <c r="I24" s="196">
        <f>1/(1+'Table 5'!$B$5)^B24</f>
        <v>0.3213461312132414</v>
      </c>
      <c r="J24" s="79">
        <f t="shared" si="1"/>
        <v>1.385785710167708</v>
      </c>
      <c r="K24" s="79">
        <f t="shared" si="2"/>
        <v>1.3728724521282138</v>
      </c>
      <c r="L24" s="79">
        <f t="shared" si="3"/>
        <v>0.003251114508654745</v>
      </c>
      <c r="M24" s="80">
        <f t="shared" si="4"/>
        <v>0.0032208194347063193</v>
      </c>
    </row>
    <row r="25" spans="1:13" ht="15">
      <c r="A25" s="32">
        <v>2033</v>
      </c>
      <c r="B25" s="59">
        <v>19</v>
      </c>
      <c r="C25" s="120">
        <f>'Table 11'!$O$50</f>
        <v>63.49850165299537</v>
      </c>
      <c r="D25" s="196">
        <f>D24-(D24*'Table 5'!$F$16)</f>
        <v>0.9811700348643991</v>
      </c>
      <c r="E25" s="196">
        <f>E24-(E24*'Table 3'!$B$22)</f>
        <v>0.9091562615825303</v>
      </c>
      <c r="F25" s="205">
        <f>F24-(F24*'Table 3'!$B$22)</f>
        <v>1319.8173025128365</v>
      </c>
      <c r="G25" s="201">
        <f>((C25*E25)/D25)*'Table 5'!$F$20</f>
        <v>4.295172353326378</v>
      </c>
      <c r="H25" s="73">
        <f t="shared" si="0"/>
        <v>4.250893218195014</v>
      </c>
      <c r="I25" s="196">
        <f>1/(1+'Table 5'!$B$5)^B25</f>
        <v>0.3017051274183095</v>
      </c>
      <c r="J25" s="79">
        <f t="shared" si="1"/>
        <v>1.295875522143935</v>
      </c>
      <c r="K25" s="79">
        <f t="shared" si="2"/>
        <v>1.2825162800371543</v>
      </c>
      <c r="L25" s="79">
        <f t="shared" si="3"/>
        <v>0.0032543688775322774</v>
      </c>
      <c r="M25" s="80">
        <f t="shared" si="4"/>
        <v>0.0032208194347063193</v>
      </c>
    </row>
    <row r="26" spans="1:13" ht="15">
      <c r="A26" s="32">
        <v>2034</v>
      </c>
      <c r="B26" s="59">
        <v>20</v>
      </c>
      <c r="C26" s="120">
        <f>'Table 11'!$O$50</f>
        <v>63.49850165299537</v>
      </c>
      <c r="D26" s="196">
        <f>D25-(D25*'Table 5'!$F$16)</f>
        <v>0.9801888648295347</v>
      </c>
      <c r="E26" s="196">
        <f>E25-(E25*'Table 3'!$B$22)</f>
        <v>0.9046104802746177</v>
      </c>
      <c r="F26" s="205">
        <f>F25-(F25*'Table 3'!$B$22)</f>
        <v>1313.2182160002724</v>
      </c>
      <c r="G26" s="201">
        <f>((C26*E26)/D26)*'Table 5'!$F$20</f>
        <v>4.277974466025772</v>
      </c>
      <c r="H26" s="73">
        <f t="shared" si="0"/>
        <v>4.229638752104038</v>
      </c>
      <c r="I26" s="196">
        <f>1/(1+'Table 5'!$B$5)^B26</f>
        <v>0.2832646018386156</v>
      </c>
      <c r="J26" s="79">
        <f t="shared" si="1"/>
        <v>1.2117987337945546</v>
      </c>
      <c r="K26" s="79">
        <f t="shared" si="2"/>
        <v>1.1981069370359294</v>
      </c>
      <c r="L26" s="79">
        <f t="shared" si="3"/>
        <v>0.003257626504036314</v>
      </c>
      <c r="M26" s="80">
        <f t="shared" si="4"/>
        <v>0.0032208194347063193</v>
      </c>
    </row>
    <row r="27" spans="1:13" ht="15">
      <c r="A27" s="32">
        <v>2035</v>
      </c>
      <c r="B27" s="59">
        <v>21</v>
      </c>
      <c r="C27" s="120">
        <f>'Table 11'!$O$50</f>
        <v>63.49850165299537</v>
      </c>
      <c r="D27" s="196">
        <f>D26-(D26*'Table 5'!$F$16)</f>
        <v>0.9792086759647052</v>
      </c>
      <c r="E27" s="196">
        <f>E26-(E26*'Table 3'!$B$22)</f>
        <v>0.9000874278732446</v>
      </c>
      <c r="F27" s="205">
        <f>F26-(F26*'Table 3'!$B$22)</f>
        <v>1306.652124920271</v>
      </c>
      <c r="G27" s="201">
        <f>((C27*E27)/D27)*'Table 5'!$F$20</f>
        <v>4.260845439134778</v>
      </c>
      <c r="H27" s="73">
        <f t="shared" si="0"/>
        <v>4.208490558343518</v>
      </c>
      <c r="I27" s="196">
        <f>1/(1+'Table 5'!$B$5)^B27</f>
        <v>0.2659511800193556</v>
      </c>
      <c r="J27" s="79">
        <f t="shared" si="1"/>
        <v>1.1331768724179836</v>
      </c>
      <c r="K27" s="79">
        <f t="shared" si="2"/>
        <v>1.1192530300917753</v>
      </c>
      <c r="L27" s="79">
        <f t="shared" si="3"/>
        <v>0.0032608873914277414</v>
      </c>
      <c r="M27" s="80">
        <f t="shared" si="4"/>
        <v>0.0032208194347063193</v>
      </c>
    </row>
    <row r="28" spans="1:13" ht="15">
      <c r="A28" s="32">
        <v>2036</v>
      </c>
      <c r="B28" s="59">
        <v>22</v>
      </c>
      <c r="C28" s="120">
        <f>'Table 11'!$O$50</f>
        <v>63.49850165299537</v>
      </c>
      <c r="D28" s="196">
        <f>D27-(D27*'Table 5'!$F$16)</f>
        <v>0.9782294672887405</v>
      </c>
      <c r="E28" s="196">
        <f>E27-(E27*'Table 3'!$B$22)</f>
        <v>0.8955869907338784</v>
      </c>
      <c r="F28" s="205">
        <f>F27-(F27*'Table 3'!$B$22)</f>
        <v>1300.1188642956697</v>
      </c>
      <c r="G28" s="201">
        <f>((C28*E28)/D28)*'Table 5'!$F$20</f>
        <v>4.24378499693604</v>
      </c>
      <c r="H28" s="73">
        <f t="shared" si="0"/>
        <v>4.187448105551801</v>
      </c>
      <c r="I28" s="196">
        <f>1/(1+'Table 5'!$B$5)^B28</f>
        <v>0.24969597222735485</v>
      </c>
      <c r="J28" s="79">
        <f t="shared" si="1"/>
        <v>1.0596560207338066</v>
      </c>
      <c r="K28" s="79">
        <f t="shared" si="2"/>
        <v>1.045588925867352</v>
      </c>
      <c r="L28" s="79">
        <f t="shared" si="3"/>
        <v>0.003264151542970712</v>
      </c>
      <c r="M28" s="80">
        <f t="shared" si="4"/>
        <v>0.0032208194347063193</v>
      </c>
    </row>
    <row r="29" spans="1:13" ht="15">
      <c r="A29" s="32">
        <v>2037</v>
      </c>
      <c r="B29" s="59">
        <v>23</v>
      </c>
      <c r="C29" s="120">
        <f>'Table 11'!$O$50</f>
        <v>63.49850165299537</v>
      </c>
      <c r="D29" s="196">
        <f>D28-(D28*'Table 5'!$F$16)</f>
        <v>0.9772512378214517</v>
      </c>
      <c r="E29" s="196">
        <f>E28-(E28*'Table 3'!$B$22)</f>
        <v>0.8911090557802089</v>
      </c>
      <c r="F29" s="205">
        <f>F28-(F28*'Table 3'!$B$22)</f>
        <v>1293.6182699741914</v>
      </c>
      <c r="G29" s="201">
        <f>((C29*E29)/D29)*'Table 5'!$F$20</f>
        <v>4.226792864816176</v>
      </c>
      <c r="H29" s="73">
        <f t="shared" si="0"/>
        <v>4.166510865024042</v>
      </c>
      <c r="I29" s="196">
        <f>1/(1+'Table 5'!$B$5)^B29</f>
        <v>0.23443429934030127</v>
      </c>
      <c r="J29" s="79">
        <f t="shared" si="1"/>
        <v>0.9909052237197649</v>
      </c>
      <c r="K29" s="79">
        <f t="shared" si="2"/>
        <v>0.9767730553356639</v>
      </c>
      <c r="L29" s="79">
        <f t="shared" si="3"/>
        <v>0.003267418961932644</v>
      </c>
      <c r="M29" s="80">
        <f t="shared" si="4"/>
        <v>0.0032208194347063193</v>
      </c>
    </row>
    <row r="30" spans="1:13" ht="15">
      <c r="A30" s="32">
        <v>2038</v>
      </c>
      <c r="B30" s="59">
        <v>24</v>
      </c>
      <c r="C30" s="120">
        <f>'Table 11'!$O$50</f>
        <v>63.49850165299537</v>
      </c>
      <c r="D30" s="196">
        <f>D29-(D29*'Table 5'!$F$16)</f>
        <v>0.9762739865836303</v>
      </c>
      <c r="E30" s="196">
        <f>E29-(E29*'Table 3'!$B$22)</f>
        <v>0.8866535105013079</v>
      </c>
      <c r="F30" s="205">
        <f>F29-(F29*'Table 3'!$B$22)</f>
        <v>1287.1501786243205</v>
      </c>
      <c r="G30" s="201">
        <f>((C30*E30)/D30)*'Table 5'!$F$20</f>
        <v>4.209868769261357</v>
      </c>
      <c r="H30" s="73">
        <f t="shared" si="0"/>
        <v>4.145678310698922</v>
      </c>
      <c r="I30" s="196">
        <f>1/(1+'Table 5'!$B$5)^B30</f>
        <v>0.2201054354899082</v>
      </c>
      <c r="J30" s="79">
        <f t="shared" si="1"/>
        <v>0.9266149988136348</v>
      </c>
      <c r="K30" s="79">
        <f t="shared" si="2"/>
        <v>0.9124863299774532</v>
      </c>
      <c r="L30" s="79">
        <f t="shared" si="3"/>
        <v>0.003270689651584229</v>
      </c>
      <c r="M30" s="80">
        <f t="shared" si="4"/>
        <v>0.0032208194347063193</v>
      </c>
    </row>
    <row r="31" spans="7:13" ht="15" thickBot="1">
      <c r="G31" s="48"/>
      <c r="L31" s="84">
        <f>NPV(0.08,L6:L30)</f>
        <v>0.03436792809503613</v>
      </c>
      <c r="M31" t="s">
        <v>152</v>
      </c>
    </row>
    <row r="32" spans="7:13" ht="15" thickBot="1">
      <c r="G32" s="82" t="s">
        <v>151</v>
      </c>
      <c r="H32" s="83"/>
      <c r="I32" s="83"/>
      <c r="J32" s="75">
        <f>SUM(J6:J31)</f>
        <v>58.089972922457406</v>
      </c>
      <c r="K32" s="76">
        <f>SUM(K6:K31)</f>
        <v>58.08997292245741</v>
      </c>
      <c r="L32" s="98">
        <f>PMT(0.08,25,L31)*-1</f>
        <v>0.0032195455424888176</v>
      </c>
      <c r="M32" t="s">
        <v>163</v>
      </c>
    </row>
    <row r="33" ht="15" thickBot="1">
      <c r="A33" s="85" t="s">
        <v>239</v>
      </c>
    </row>
    <row r="34" spans="1:11" ht="15" thickBot="1">
      <c r="A34" t="s">
        <v>161</v>
      </c>
      <c r="I34" s="49" t="s">
        <v>165</v>
      </c>
      <c r="J34" s="83"/>
      <c r="K34" s="90">
        <f>SUMPRODUCT(G6:G30,I6:I30)/SUMPRODUCT(F6:F30,I6:I30)</f>
        <v>0.0032208194347063193</v>
      </c>
    </row>
    <row r="37" ht="15">
      <c r="A37" t="s">
        <v>608</v>
      </c>
    </row>
    <row r="38" ht="15">
      <c r="A38" t="s">
        <v>609</v>
      </c>
    </row>
    <row r="39" ht="15">
      <c r="A39" t="s">
        <v>610</v>
      </c>
    </row>
    <row r="40" ht="15">
      <c r="A40" t="s">
        <v>611</v>
      </c>
    </row>
    <row r="41" ht="15">
      <c r="A41" t="s">
        <v>612</v>
      </c>
    </row>
  </sheetData>
  <mergeCells count="6">
    <mergeCell ref="A1:M1"/>
    <mergeCell ref="A4:A5"/>
    <mergeCell ref="G3:H3"/>
    <mergeCell ref="J3:K3"/>
    <mergeCell ref="L3:M3"/>
    <mergeCell ref="A2:M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topLeftCell="A1">
      <selection activeCell="G6" sqref="G6"/>
    </sheetView>
  </sheetViews>
  <sheetFormatPr defaultColWidth="9.140625" defaultRowHeight="15"/>
  <cols>
    <col min="6" max="6" width="15.8515625" style="0" customWidth="1"/>
    <col min="7" max="8" width="10.57421875" style="0" bestFit="1" customWidth="1"/>
    <col min="10" max="11" width="11.57421875" style="0" bestFit="1" customWidth="1"/>
    <col min="12" max="12" width="11.140625" style="0" bestFit="1" customWidth="1"/>
  </cols>
  <sheetData>
    <row r="1" spans="1:13" ht="15">
      <c r="A1" s="260"/>
      <c r="B1" s="260"/>
      <c r="C1" s="260"/>
      <c r="D1" s="260"/>
      <c r="E1" s="260"/>
      <c r="F1" s="260"/>
      <c r="G1" s="260"/>
      <c r="H1" s="260"/>
      <c r="I1" s="260"/>
      <c r="J1" s="260"/>
      <c r="K1" s="260"/>
      <c r="L1" s="260"/>
      <c r="M1" s="260"/>
    </row>
    <row r="2" spans="1:13" ht="15">
      <c r="A2" s="260" t="s">
        <v>614</v>
      </c>
      <c r="B2" s="260"/>
      <c r="C2" s="260"/>
      <c r="D2" s="260"/>
      <c r="E2" s="260"/>
      <c r="F2" s="260"/>
      <c r="G2" s="260"/>
      <c r="H2" s="260"/>
      <c r="I2" s="260"/>
      <c r="J2" s="260"/>
      <c r="K2" s="260"/>
      <c r="L2" s="260"/>
      <c r="M2" s="260"/>
    </row>
    <row r="3" spans="3:13" ht="15">
      <c r="C3" s="6"/>
      <c r="D3" s="6"/>
      <c r="E3" s="6"/>
      <c r="F3" s="6"/>
      <c r="G3" s="262" t="s">
        <v>126</v>
      </c>
      <c r="H3" s="262"/>
      <c r="I3" s="6"/>
      <c r="J3" s="262" t="s">
        <v>129</v>
      </c>
      <c r="K3" s="262"/>
      <c r="L3" s="262" t="s">
        <v>122</v>
      </c>
      <c r="M3" s="262"/>
    </row>
    <row r="4" spans="1:13" ht="28.8">
      <c r="A4" s="262" t="s">
        <v>39</v>
      </c>
      <c r="B4" s="57" t="s">
        <v>134</v>
      </c>
      <c r="C4" s="37" t="s">
        <v>153</v>
      </c>
      <c r="D4" s="37" t="s">
        <v>162</v>
      </c>
      <c r="E4" s="37" t="s">
        <v>138</v>
      </c>
      <c r="F4" s="37" t="s">
        <v>125</v>
      </c>
      <c r="G4" s="37" t="s">
        <v>127</v>
      </c>
      <c r="H4" s="37" t="s">
        <v>124</v>
      </c>
      <c r="I4" s="37" t="s">
        <v>140</v>
      </c>
      <c r="J4" s="37" t="s">
        <v>130</v>
      </c>
      <c r="K4" s="37" t="s">
        <v>124</v>
      </c>
      <c r="L4" s="37" t="s">
        <v>130</v>
      </c>
      <c r="M4" s="37" t="s">
        <v>124</v>
      </c>
    </row>
    <row r="5" spans="1:13" ht="15">
      <c r="A5" s="262"/>
      <c r="B5" s="58"/>
      <c r="C5" s="36" t="s">
        <v>154</v>
      </c>
      <c r="D5" s="36" t="s">
        <v>141</v>
      </c>
      <c r="E5" s="36" t="s">
        <v>142</v>
      </c>
      <c r="F5" s="36" t="s">
        <v>132</v>
      </c>
      <c r="G5" s="36" t="s">
        <v>133</v>
      </c>
      <c r="H5" s="36" t="s">
        <v>133</v>
      </c>
      <c r="I5" s="36"/>
      <c r="J5" s="36" t="s">
        <v>133</v>
      </c>
      <c r="K5" s="36" t="s">
        <v>133</v>
      </c>
      <c r="L5" s="36" t="s">
        <v>133</v>
      </c>
      <c r="M5" s="36" t="s">
        <v>133</v>
      </c>
    </row>
    <row r="6" spans="1:13" ht="15">
      <c r="A6" s="32">
        <v>2014</v>
      </c>
      <c r="B6" s="59">
        <v>0</v>
      </c>
      <c r="C6" s="81">
        <f>'Table 5'!$B$18</f>
        <v>40.7160597996155</v>
      </c>
      <c r="D6" s="21">
        <v>1</v>
      </c>
      <c r="E6" s="19">
        <v>1</v>
      </c>
      <c r="F6" s="77">
        <f>'Table 5'!B15</f>
        <v>1451.69467371372</v>
      </c>
      <c r="G6" s="73">
        <f>(C6*E6)</f>
        <v>40.7160597996155</v>
      </c>
      <c r="H6" s="73">
        <f>M6*F6</f>
        <v>40.716059799615515</v>
      </c>
      <c r="I6" s="19">
        <v>1</v>
      </c>
      <c r="J6" s="73">
        <f>G6*I6</f>
        <v>40.7160597996155</v>
      </c>
      <c r="K6" s="73">
        <f>H6*I6</f>
        <v>40.716059799615515</v>
      </c>
      <c r="L6" s="86">
        <f>G6/F6</f>
        <v>0.028047261271170628</v>
      </c>
      <c r="M6" s="87">
        <f>$H$34</f>
        <v>0.028047261271170635</v>
      </c>
    </row>
    <row r="7" spans="1:13" ht="15">
      <c r="A7" s="32">
        <v>2015</v>
      </c>
      <c r="B7" s="59">
        <v>1</v>
      </c>
      <c r="C7" s="81">
        <f>'Table 5'!$B$18</f>
        <v>40.7160597996155</v>
      </c>
      <c r="D7" s="21">
        <v>1</v>
      </c>
      <c r="E7" s="19">
        <f>E6-(E6*'Table 3'!$B$22)</f>
        <v>0.995</v>
      </c>
      <c r="F7" s="77">
        <f>F6-(F6*'Table 3'!$B$22)</f>
        <v>1444.4362003451515</v>
      </c>
      <c r="G7" s="73">
        <f aca="true" t="shared" si="0" ref="G7:G30">(C7*E7)</f>
        <v>40.512479500617424</v>
      </c>
      <c r="H7" s="73">
        <f aca="true" t="shared" si="1" ref="H7:H30">M7*F7</f>
        <v>40.51247950061744</v>
      </c>
      <c r="I7" s="19">
        <f>1/(1+'Table 5'!$B$5)^B7</f>
        <v>0.9388789784996715</v>
      </c>
      <c r="J7" s="73">
        <f aca="true" t="shared" si="2" ref="J7:J30">G7*I7</f>
        <v>38.03631537002857</v>
      </c>
      <c r="K7" s="73">
        <f aca="true" t="shared" si="3" ref="K7:K30">H7*I7</f>
        <v>38.03631537002858</v>
      </c>
      <c r="L7" s="86">
        <f aca="true" t="shared" si="4" ref="L7:L30">G7/F7</f>
        <v>0.028047261271170628</v>
      </c>
      <c r="M7" s="87">
        <f aca="true" t="shared" si="5" ref="M7:M30">$H$34</f>
        <v>0.028047261271170635</v>
      </c>
    </row>
    <row r="8" spans="1:13" ht="15">
      <c r="A8" s="32">
        <v>2016</v>
      </c>
      <c r="B8" s="59">
        <v>2</v>
      </c>
      <c r="C8" s="81">
        <f>'Table 5'!$B$18</f>
        <v>40.7160597996155</v>
      </c>
      <c r="D8" s="21">
        <v>1</v>
      </c>
      <c r="E8" s="196">
        <f>E7-(E7*'Table 3'!$B$22)</f>
        <v>0.990025</v>
      </c>
      <c r="F8" s="205">
        <f>F7-(F7*'Table 3'!$B$22)</f>
        <v>1437.2140193434257</v>
      </c>
      <c r="G8" s="73">
        <f t="shared" si="0"/>
        <v>40.30991710311434</v>
      </c>
      <c r="H8" s="73">
        <f t="shared" si="1"/>
        <v>40.309917103114344</v>
      </c>
      <c r="I8" s="196">
        <f>1/(1+'Table 5'!$B$5)^B8</f>
        <v>0.8814937362685866</v>
      </c>
      <c r="J8" s="73">
        <f t="shared" si="2"/>
        <v>35.532939435901255</v>
      </c>
      <c r="K8" s="73">
        <f t="shared" si="3"/>
        <v>35.53293943590126</v>
      </c>
      <c r="L8" s="86">
        <f t="shared" si="4"/>
        <v>0.028047261271170628</v>
      </c>
      <c r="M8" s="87">
        <f t="shared" si="5"/>
        <v>0.028047261271170635</v>
      </c>
    </row>
    <row r="9" spans="1:13" ht="15">
      <c r="A9" s="32">
        <v>2017</v>
      </c>
      <c r="B9" s="59">
        <v>3</v>
      </c>
      <c r="C9" s="81">
        <f>'Table 5'!$B$18</f>
        <v>40.7160597996155</v>
      </c>
      <c r="D9" s="21">
        <v>1</v>
      </c>
      <c r="E9" s="196">
        <f>E8-(E8*'Table 3'!$B$22)</f>
        <v>0.985074875</v>
      </c>
      <c r="F9" s="205">
        <f>F8-(F8*'Table 3'!$B$22)</f>
        <v>1430.0279492467084</v>
      </c>
      <c r="G9" s="73">
        <f t="shared" si="0"/>
        <v>40.108367517598765</v>
      </c>
      <c r="H9" s="73">
        <f t="shared" si="1"/>
        <v>40.10836751759877</v>
      </c>
      <c r="I9" s="196">
        <f>1/(1+'Table 5'!$B$5)^B9</f>
        <v>0.8276159386617093</v>
      </c>
      <c r="J9" s="73">
        <f t="shared" si="2"/>
        <v>33.194324231266314</v>
      </c>
      <c r="K9" s="73">
        <f t="shared" si="3"/>
        <v>33.19432423126632</v>
      </c>
      <c r="L9" s="86">
        <f t="shared" si="4"/>
        <v>0.02804726127117063</v>
      </c>
      <c r="M9" s="87">
        <f t="shared" si="5"/>
        <v>0.028047261271170635</v>
      </c>
    </row>
    <row r="10" spans="1:13" ht="15">
      <c r="A10" s="32">
        <v>2018</v>
      </c>
      <c r="B10" s="59">
        <v>4</v>
      </c>
      <c r="C10" s="81">
        <f>'Table 5'!$B$18</f>
        <v>40.7160597996155</v>
      </c>
      <c r="D10" s="21">
        <v>1</v>
      </c>
      <c r="E10" s="196">
        <f>E9-(E9*'Table 3'!$B$22)</f>
        <v>0.9801495006250001</v>
      </c>
      <c r="F10" s="205">
        <f>F9-(F9*'Table 3'!$B$22)</f>
        <v>1422.877809500475</v>
      </c>
      <c r="G10" s="73">
        <f t="shared" si="0"/>
        <v>39.907825680010774</v>
      </c>
      <c r="H10" s="73">
        <f t="shared" si="1"/>
        <v>39.90782568001078</v>
      </c>
      <c r="I10" s="196">
        <f>1/(1+'Table 5'!$B$5)^B10</f>
        <v>0.7770312070807525</v>
      </c>
      <c r="J10" s="73">
        <f t="shared" si="2"/>
        <v>31.009625960107023</v>
      </c>
      <c r="K10" s="73">
        <f t="shared" si="3"/>
        <v>31.009625960107027</v>
      </c>
      <c r="L10" s="86">
        <f t="shared" si="4"/>
        <v>0.02804726127117063</v>
      </c>
      <c r="M10" s="87">
        <f t="shared" si="5"/>
        <v>0.028047261271170635</v>
      </c>
    </row>
    <row r="11" spans="1:13" ht="15">
      <c r="A11" s="32">
        <v>2019</v>
      </c>
      <c r="B11" s="59">
        <v>5</v>
      </c>
      <c r="C11" s="81">
        <f>'Table 5'!$B$18</f>
        <v>40.7160597996155</v>
      </c>
      <c r="D11" s="21">
        <v>1</v>
      </c>
      <c r="E11" s="196">
        <f>E10-(E10*'Table 3'!$B$22)</f>
        <v>0.9752487531218751</v>
      </c>
      <c r="F11" s="205">
        <f>F10-(F10*'Table 3'!$B$22)</f>
        <v>1415.7634204529727</v>
      </c>
      <c r="G11" s="73">
        <f t="shared" si="0"/>
        <v>39.70828655161072</v>
      </c>
      <c r="H11" s="73">
        <f t="shared" si="1"/>
        <v>39.708286551610726</v>
      </c>
      <c r="I11" s="196">
        <f>1/(1+'Table 5'!$B$5)^B11</f>
        <v>0.7295382659663435</v>
      </c>
      <c r="J11" s="73">
        <f t="shared" si="2"/>
        <v>28.968714515356762</v>
      </c>
      <c r="K11" s="73">
        <f t="shared" si="3"/>
        <v>28.96871451535677</v>
      </c>
      <c r="L11" s="86">
        <f t="shared" si="4"/>
        <v>0.028047261271170628</v>
      </c>
      <c r="M11" s="87">
        <f t="shared" si="5"/>
        <v>0.028047261271170635</v>
      </c>
    </row>
    <row r="12" spans="1:13" ht="15">
      <c r="A12" s="32">
        <v>2020</v>
      </c>
      <c r="B12" s="59">
        <v>6</v>
      </c>
      <c r="C12" s="81">
        <f>'Table 5'!$B$18</f>
        <v>40.7160597996155</v>
      </c>
      <c r="D12" s="21">
        <v>1</v>
      </c>
      <c r="E12" s="196">
        <f>E11-(E11*'Table 3'!$B$22)</f>
        <v>0.9703725093562657</v>
      </c>
      <c r="F12" s="205">
        <f>F11-(F11*'Table 3'!$B$22)</f>
        <v>1408.684603350708</v>
      </c>
      <c r="G12" s="73">
        <f t="shared" si="0"/>
        <v>39.50974511885267</v>
      </c>
      <c r="H12" s="73">
        <f t="shared" si="1"/>
        <v>39.50974511885268</v>
      </c>
      <c r="I12" s="196">
        <f>1/(1+'Table 5'!$B$5)^B12</f>
        <v>0.6849481419269022</v>
      </c>
      <c r="J12" s="73">
        <f t="shared" si="2"/>
        <v>27.062126507163633</v>
      </c>
      <c r="K12" s="73">
        <f t="shared" si="3"/>
        <v>27.062126507163637</v>
      </c>
      <c r="L12" s="86">
        <f t="shared" si="4"/>
        <v>0.02804726127117063</v>
      </c>
      <c r="M12" s="87">
        <f t="shared" si="5"/>
        <v>0.028047261271170635</v>
      </c>
    </row>
    <row r="13" spans="1:13" ht="15">
      <c r="A13" s="32">
        <v>2021</v>
      </c>
      <c r="B13" s="59">
        <v>7</v>
      </c>
      <c r="C13" s="81">
        <f>'Table 5'!$B$18</f>
        <v>40.7160597996155</v>
      </c>
      <c r="D13" s="21">
        <v>1</v>
      </c>
      <c r="E13" s="196">
        <f>E12-(E12*'Table 3'!$B$22)</f>
        <v>0.9655206468094844</v>
      </c>
      <c r="F13" s="205">
        <f>F12-(F12*'Table 3'!$B$22)</f>
        <v>1401.6411803339543</v>
      </c>
      <c r="G13" s="73">
        <f t="shared" si="0"/>
        <v>39.312196393258404</v>
      </c>
      <c r="H13" s="73">
        <f t="shared" si="1"/>
        <v>39.31219639325841</v>
      </c>
      <c r="I13" s="196">
        <f>1/(1+'Table 5'!$B$5)^B13</f>
        <v>0.643083411817578</v>
      </c>
      <c r="J13" s="73">
        <f t="shared" si="2"/>
        <v>25.281021382619297</v>
      </c>
      <c r="K13" s="73">
        <f t="shared" si="3"/>
        <v>25.281021382619304</v>
      </c>
      <c r="L13" s="86">
        <f t="shared" si="4"/>
        <v>0.02804726127117063</v>
      </c>
      <c r="M13" s="87">
        <f t="shared" si="5"/>
        <v>0.028047261271170635</v>
      </c>
    </row>
    <row r="14" spans="1:13" ht="15">
      <c r="A14" s="32">
        <v>2022</v>
      </c>
      <c r="B14" s="59">
        <v>8</v>
      </c>
      <c r="C14" s="81">
        <f>'Table 5'!$B$18</f>
        <v>40.7160597996155</v>
      </c>
      <c r="D14" s="21">
        <v>1</v>
      </c>
      <c r="E14" s="196">
        <f>E13-(E13*'Table 3'!$B$22)</f>
        <v>0.960693043575437</v>
      </c>
      <c r="F14" s="205">
        <f>F13-(F13*'Table 3'!$B$22)</f>
        <v>1394.6329744322845</v>
      </c>
      <c r="G14" s="73">
        <f t="shared" si="0"/>
        <v>39.11563541129211</v>
      </c>
      <c r="H14" s="73">
        <f t="shared" si="1"/>
        <v>39.11563541129212</v>
      </c>
      <c r="I14" s="196">
        <f>1/(1+'Table 5'!$B$5)^B14</f>
        <v>0.6037774967773711</v>
      </c>
      <c r="J14" s="73">
        <f t="shared" si="2"/>
        <v>23.617140433486245</v>
      </c>
      <c r="K14" s="73">
        <f t="shared" si="3"/>
        <v>23.617140433486252</v>
      </c>
      <c r="L14" s="86">
        <f t="shared" si="4"/>
        <v>0.028047261271170628</v>
      </c>
      <c r="M14" s="87">
        <f t="shared" si="5"/>
        <v>0.028047261271170635</v>
      </c>
    </row>
    <row r="15" spans="1:13" ht="15">
      <c r="A15" s="32">
        <v>2023</v>
      </c>
      <c r="B15" s="59">
        <v>9</v>
      </c>
      <c r="C15" s="81">
        <f>'Table 5'!$B$18</f>
        <v>40.7160597996155</v>
      </c>
      <c r="D15" s="21">
        <v>1</v>
      </c>
      <c r="E15" s="196">
        <f>E14-(E14*'Table 3'!$B$22)</f>
        <v>0.9558895783575597</v>
      </c>
      <c r="F15" s="205">
        <f>F14-(F14*'Table 3'!$B$22)</f>
        <v>1387.659809560123</v>
      </c>
      <c r="G15" s="73">
        <f t="shared" si="0"/>
        <v>38.92005723423565</v>
      </c>
      <c r="H15" s="73">
        <f t="shared" si="1"/>
        <v>38.92005723423566</v>
      </c>
      <c r="I15" s="196">
        <f>1/(1+'Table 5'!$B$5)^B15</f>
        <v>0.5668739994154269</v>
      </c>
      <c r="J15" s="73">
        <f t="shared" si="2"/>
        <v>22.06276850184848</v>
      </c>
      <c r="K15" s="73">
        <f t="shared" si="3"/>
        <v>22.062768501848485</v>
      </c>
      <c r="L15" s="86">
        <f t="shared" si="4"/>
        <v>0.02804726127117063</v>
      </c>
      <c r="M15" s="87">
        <f t="shared" si="5"/>
        <v>0.028047261271170635</v>
      </c>
    </row>
    <row r="16" spans="1:13" ht="15">
      <c r="A16" s="32">
        <v>2024</v>
      </c>
      <c r="B16" s="59">
        <v>10</v>
      </c>
      <c r="C16" s="81">
        <f>'Table 5'!$B$18</f>
        <v>40.7160597996155</v>
      </c>
      <c r="D16" s="21">
        <v>1</v>
      </c>
      <c r="E16" s="196">
        <f>E15-(E15*'Table 3'!$B$22)</f>
        <v>0.951110130465772</v>
      </c>
      <c r="F16" s="205">
        <f>F15-(F15*'Table 3'!$B$22)</f>
        <v>1380.7215105123223</v>
      </c>
      <c r="G16" s="73">
        <f t="shared" si="0"/>
        <v>38.72545694806447</v>
      </c>
      <c r="H16" s="73">
        <f t="shared" si="1"/>
        <v>38.725456948064476</v>
      </c>
      <c r="I16" s="196">
        <f>1/(1+'Table 5'!$B$5)^B16</f>
        <v>0.5322260815091794</v>
      </c>
      <c r="J16" s="73">
        <f t="shared" si="2"/>
        <v>20.610698206120777</v>
      </c>
      <c r="K16" s="73">
        <f t="shared" si="3"/>
        <v>20.61069820612078</v>
      </c>
      <c r="L16" s="86">
        <f t="shared" si="4"/>
        <v>0.028047261271170628</v>
      </c>
      <c r="M16" s="87">
        <f t="shared" si="5"/>
        <v>0.028047261271170635</v>
      </c>
    </row>
    <row r="17" spans="1:13" ht="15">
      <c r="A17" s="32">
        <v>2025</v>
      </c>
      <c r="B17" s="59">
        <v>11</v>
      </c>
      <c r="C17" s="81">
        <f>'Table 5'!$B$18</f>
        <v>40.7160597996155</v>
      </c>
      <c r="D17" s="21">
        <v>1</v>
      </c>
      <c r="E17" s="196">
        <f>E16-(E16*'Table 3'!$B$22)</f>
        <v>0.9463545798134431</v>
      </c>
      <c r="F17" s="205">
        <f>F16-(F16*'Table 3'!$B$22)</f>
        <v>1373.8179029597607</v>
      </c>
      <c r="G17" s="73">
        <f t="shared" si="0"/>
        <v>38.531829663324146</v>
      </c>
      <c r="H17" s="73">
        <f t="shared" si="1"/>
        <v>38.53182966332415</v>
      </c>
      <c r="I17" s="196">
        <f>1/(1+'Table 5'!$B$5)^B17</f>
        <v>0.49969587973822116</v>
      </c>
      <c r="J17" s="73">
        <f t="shared" si="2"/>
        <v>19.254196521538045</v>
      </c>
      <c r="K17" s="73">
        <f t="shared" si="3"/>
        <v>19.25419652153805</v>
      </c>
      <c r="L17" s="86">
        <f t="shared" si="4"/>
        <v>0.02804726127117063</v>
      </c>
      <c r="M17" s="87">
        <f t="shared" si="5"/>
        <v>0.028047261271170635</v>
      </c>
    </row>
    <row r="18" spans="1:13" ht="15">
      <c r="A18" s="32">
        <v>2026</v>
      </c>
      <c r="B18" s="59">
        <v>12</v>
      </c>
      <c r="C18" s="81">
        <f>'Table 5'!$B$18</f>
        <v>40.7160597996155</v>
      </c>
      <c r="D18" s="21">
        <v>1</v>
      </c>
      <c r="E18" s="196">
        <f>E17-(E17*'Table 3'!$B$22)</f>
        <v>0.9416228069143758</v>
      </c>
      <c r="F18" s="205">
        <f>F17-(F17*'Table 3'!$B$22)</f>
        <v>1366.9488134449618</v>
      </c>
      <c r="G18" s="73">
        <f t="shared" si="0"/>
        <v>38.339170515007524</v>
      </c>
      <c r="H18" s="73">
        <f t="shared" si="1"/>
        <v>38.33917051500753</v>
      </c>
      <c r="I18" s="196">
        <f>1/(1+'Table 5'!$B$5)^B18</f>
        <v>0.46915395712911584</v>
      </c>
      <c r="J18" s="73">
        <f t="shared" si="2"/>
        <v>17.9869735601637</v>
      </c>
      <c r="K18" s="73">
        <f t="shared" si="3"/>
        <v>17.986973560163705</v>
      </c>
      <c r="L18" s="86">
        <f t="shared" si="4"/>
        <v>0.028047261271170628</v>
      </c>
      <c r="M18" s="87">
        <f t="shared" si="5"/>
        <v>0.028047261271170635</v>
      </c>
    </row>
    <row r="19" spans="1:13" ht="15">
      <c r="A19" s="32">
        <v>2027</v>
      </c>
      <c r="B19" s="59">
        <v>13</v>
      </c>
      <c r="C19" s="81">
        <f>'Table 5'!$B$18</f>
        <v>40.7160597996155</v>
      </c>
      <c r="D19" s="21">
        <v>1</v>
      </c>
      <c r="E19" s="196">
        <f>E18-(E18*'Table 3'!$B$22)</f>
        <v>0.936914692879804</v>
      </c>
      <c r="F19" s="205">
        <f>F18-(F18*'Table 3'!$B$22)</f>
        <v>1360.114069377737</v>
      </c>
      <c r="G19" s="73">
        <f t="shared" si="0"/>
        <v>38.147474662432494</v>
      </c>
      <c r="H19" s="73">
        <f t="shared" si="1"/>
        <v>38.147474662432494</v>
      </c>
      <c r="I19" s="196">
        <f>1/(1+'Table 5'!$B$5)^B19</f>
        <v>0.4404787880284629</v>
      </c>
      <c r="J19" s="73">
        <f t="shared" si="2"/>
        <v>16.80315340565476</v>
      </c>
      <c r="K19" s="73">
        <f t="shared" si="3"/>
        <v>16.80315340565476</v>
      </c>
      <c r="L19" s="86">
        <f t="shared" si="4"/>
        <v>0.028047261271170635</v>
      </c>
      <c r="M19" s="87">
        <f t="shared" si="5"/>
        <v>0.028047261271170635</v>
      </c>
    </row>
    <row r="20" spans="1:13" ht="15">
      <c r="A20" s="32">
        <v>2028</v>
      </c>
      <c r="B20" s="59">
        <v>14</v>
      </c>
      <c r="C20" s="81">
        <f>'Table 5'!$B$18</f>
        <v>40.7160597996155</v>
      </c>
      <c r="D20" s="21">
        <v>1</v>
      </c>
      <c r="E20" s="196">
        <f>E19-(E19*'Table 3'!$B$22)</f>
        <v>0.932230119415405</v>
      </c>
      <c r="F20" s="205">
        <f>F19-(F19*'Table 3'!$B$22)</f>
        <v>1353.3134990308483</v>
      </c>
      <c r="G20" s="73">
        <f t="shared" si="0"/>
        <v>37.956737289120326</v>
      </c>
      <c r="H20" s="73">
        <f t="shared" si="1"/>
        <v>37.95673728912033</v>
      </c>
      <c r="I20" s="196">
        <f>1/(1+'Table 5'!$B$5)^B20</f>
        <v>0.41355627455493654</v>
      </c>
      <c r="J20" s="73">
        <f t="shared" si="2"/>
        <v>15.697246867549044</v>
      </c>
      <c r="K20" s="73">
        <f t="shared" si="3"/>
        <v>15.697246867549046</v>
      </c>
      <c r="L20" s="86">
        <f t="shared" si="4"/>
        <v>0.02804726127117063</v>
      </c>
      <c r="M20" s="87">
        <f t="shared" si="5"/>
        <v>0.028047261271170635</v>
      </c>
    </row>
    <row r="21" spans="1:13" ht="15">
      <c r="A21" s="32">
        <v>2029</v>
      </c>
      <c r="B21" s="59">
        <v>15</v>
      </c>
      <c r="C21" s="81">
        <f>'Table 5'!$B$18</f>
        <v>40.7160597996155</v>
      </c>
      <c r="D21" s="21">
        <v>1</v>
      </c>
      <c r="E21" s="196">
        <f>E20-(E20*'Table 3'!$B$22)</f>
        <v>0.927568968818328</v>
      </c>
      <c r="F21" s="205">
        <f>F20-(F20*'Table 3'!$B$22)</f>
        <v>1346.546931535694</v>
      </c>
      <c r="G21" s="73">
        <f t="shared" si="0"/>
        <v>37.766953602674725</v>
      </c>
      <c r="H21" s="73">
        <f t="shared" si="1"/>
        <v>37.766953602674725</v>
      </c>
      <c r="I21" s="196">
        <f>1/(1+'Table 5'!$B$5)^B21</f>
        <v>0.3882792926062686</v>
      </c>
      <c r="J21" s="73">
        <f t="shared" si="2"/>
        <v>14.66412602874031</v>
      </c>
      <c r="K21" s="73">
        <f t="shared" si="3"/>
        <v>14.66412602874031</v>
      </c>
      <c r="L21" s="86">
        <f t="shared" si="4"/>
        <v>0.02804726127117063</v>
      </c>
      <c r="M21" s="87">
        <f t="shared" si="5"/>
        <v>0.028047261271170635</v>
      </c>
    </row>
    <row r="22" spans="1:13" ht="15">
      <c r="A22" s="32">
        <v>2030</v>
      </c>
      <c r="B22" s="59">
        <v>16</v>
      </c>
      <c r="C22" s="81">
        <f>'Table 5'!$B$18</f>
        <v>40.7160597996155</v>
      </c>
      <c r="D22" s="21">
        <v>1</v>
      </c>
      <c r="E22" s="196">
        <f>E21-(E21*'Table 3'!$B$22)</f>
        <v>0.9229311239742363</v>
      </c>
      <c r="F22" s="205">
        <f>F21-(F21*'Table 3'!$B$22)</f>
        <v>1339.8141968780155</v>
      </c>
      <c r="G22" s="73">
        <f t="shared" si="0"/>
        <v>37.57811883466135</v>
      </c>
      <c r="H22" s="73">
        <f t="shared" si="1"/>
        <v>37.57811883466135</v>
      </c>
      <c r="I22" s="196">
        <f>1/(1+'Table 5'!$B$5)^B22</f>
        <v>0.36454726561474843</v>
      </c>
      <c r="J22" s="73">
        <f t="shared" si="2"/>
        <v>13.699000468121874</v>
      </c>
      <c r="K22" s="73">
        <f t="shared" si="3"/>
        <v>13.699000468121874</v>
      </c>
      <c r="L22" s="86">
        <f t="shared" si="4"/>
        <v>0.028047261271170635</v>
      </c>
      <c r="M22" s="87">
        <f t="shared" si="5"/>
        <v>0.028047261271170635</v>
      </c>
    </row>
    <row r="23" spans="1:13" ht="15">
      <c r="A23" s="32">
        <v>2031</v>
      </c>
      <c r="B23" s="59">
        <v>17</v>
      </c>
      <c r="C23" s="81">
        <f>'Table 5'!$B$18</f>
        <v>40.7160597996155</v>
      </c>
      <c r="D23" s="21">
        <v>1</v>
      </c>
      <c r="E23" s="196">
        <f>E22-(E22*'Table 3'!$B$22)</f>
        <v>0.9183164683543651</v>
      </c>
      <c r="F23" s="205">
        <f>F22-(F22*'Table 3'!$B$22)</f>
        <v>1333.1151258936254</v>
      </c>
      <c r="G23" s="73">
        <f t="shared" si="0"/>
        <v>37.39022824048804</v>
      </c>
      <c r="H23" s="73">
        <f t="shared" si="1"/>
        <v>37.39022824048804</v>
      </c>
      <c r="I23" s="196">
        <f>1/(1+'Table 5'!$B$5)^B23</f>
        <v>0.34226576435522343</v>
      </c>
      <c r="J23" s="73">
        <f t="shared" si="2"/>
        <v>12.797395048146901</v>
      </c>
      <c r="K23" s="73">
        <f t="shared" si="3"/>
        <v>12.797395048146901</v>
      </c>
      <c r="L23" s="86">
        <f t="shared" si="4"/>
        <v>0.02804726127117063</v>
      </c>
      <c r="M23" s="87">
        <f t="shared" si="5"/>
        <v>0.028047261271170635</v>
      </c>
    </row>
    <row r="24" spans="1:13" ht="15">
      <c r="A24" s="32">
        <v>2032</v>
      </c>
      <c r="B24" s="59">
        <v>18</v>
      </c>
      <c r="C24" s="81">
        <f>'Table 5'!$B$18</f>
        <v>40.7160597996155</v>
      </c>
      <c r="D24" s="21">
        <v>1</v>
      </c>
      <c r="E24" s="196">
        <f>E23-(E23*'Table 3'!$B$22)</f>
        <v>0.9137248860125933</v>
      </c>
      <c r="F24" s="205">
        <f>F23-(F23*'Table 3'!$B$22)</f>
        <v>1326.4495502641573</v>
      </c>
      <c r="G24" s="73">
        <f t="shared" si="0"/>
        <v>37.20327709928561</v>
      </c>
      <c r="H24" s="73">
        <f t="shared" si="1"/>
        <v>37.20327709928561</v>
      </c>
      <c r="I24" s="196">
        <f>1/(1+'Table 5'!$B$5)^B24</f>
        <v>0.3213461312132414</v>
      </c>
      <c r="J24" s="73">
        <f t="shared" si="2"/>
        <v>11.955129164309612</v>
      </c>
      <c r="K24" s="73">
        <f t="shared" si="3"/>
        <v>11.955129164309612</v>
      </c>
      <c r="L24" s="86">
        <f t="shared" si="4"/>
        <v>0.028047261271170635</v>
      </c>
      <c r="M24" s="87">
        <f t="shared" si="5"/>
        <v>0.028047261271170635</v>
      </c>
    </row>
    <row r="25" spans="1:13" ht="15">
      <c r="A25" s="32">
        <v>2033</v>
      </c>
      <c r="B25" s="59">
        <v>19</v>
      </c>
      <c r="C25" s="81">
        <f>'Table 5'!$B$18</f>
        <v>40.7160597996155</v>
      </c>
      <c r="D25" s="21">
        <v>1</v>
      </c>
      <c r="E25" s="196">
        <f>E24-(E24*'Table 3'!$B$22)</f>
        <v>0.9091562615825303</v>
      </c>
      <c r="F25" s="205">
        <f>F24-(F24*'Table 3'!$B$22)</f>
        <v>1319.8173025128365</v>
      </c>
      <c r="G25" s="73">
        <f t="shared" si="0"/>
        <v>37.01726071378918</v>
      </c>
      <c r="H25" s="73">
        <f t="shared" si="1"/>
        <v>37.01726071378918</v>
      </c>
      <c r="I25" s="196">
        <f>1/(1+'Table 5'!$B$5)^B25</f>
        <v>0.3017051274183095</v>
      </c>
      <c r="J25" s="73">
        <f t="shared" si="2"/>
        <v>11.168297360330547</v>
      </c>
      <c r="K25" s="73">
        <f t="shared" si="3"/>
        <v>11.168297360330547</v>
      </c>
      <c r="L25" s="86">
        <f t="shared" si="4"/>
        <v>0.028047261271170635</v>
      </c>
      <c r="M25" s="87">
        <f t="shared" si="5"/>
        <v>0.028047261271170635</v>
      </c>
    </row>
    <row r="26" spans="1:13" ht="15">
      <c r="A26" s="32">
        <v>2034</v>
      </c>
      <c r="B26" s="59">
        <v>20</v>
      </c>
      <c r="C26" s="81">
        <f>'Table 5'!$B$18</f>
        <v>40.7160597996155</v>
      </c>
      <c r="D26" s="21">
        <v>1</v>
      </c>
      <c r="E26" s="196">
        <f>E25-(E25*'Table 3'!$B$22)</f>
        <v>0.9046104802746177</v>
      </c>
      <c r="F26" s="205">
        <f>F25-(F25*'Table 3'!$B$22)</f>
        <v>1313.2182160002724</v>
      </c>
      <c r="G26" s="73">
        <f t="shared" si="0"/>
        <v>36.83217441022023</v>
      </c>
      <c r="H26" s="73">
        <f t="shared" si="1"/>
        <v>36.83217441022023</v>
      </c>
      <c r="I26" s="196">
        <f>1/(1+'Table 5'!$B$5)^B26</f>
        <v>0.2832646018386156</v>
      </c>
      <c r="J26" s="73">
        <f t="shared" si="2"/>
        <v>10.433251219161482</v>
      </c>
      <c r="K26" s="73">
        <f t="shared" si="3"/>
        <v>10.433251219161482</v>
      </c>
      <c r="L26" s="86">
        <f t="shared" si="4"/>
        <v>0.028047261271170635</v>
      </c>
      <c r="M26" s="87">
        <f t="shared" si="5"/>
        <v>0.028047261271170635</v>
      </c>
    </row>
    <row r="27" spans="1:13" ht="15">
      <c r="A27" s="32">
        <v>2035</v>
      </c>
      <c r="B27" s="59">
        <v>21</v>
      </c>
      <c r="C27" s="81">
        <f>'Table 5'!$B$18</f>
        <v>40.7160597996155</v>
      </c>
      <c r="D27" s="21">
        <v>1</v>
      </c>
      <c r="E27" s="196">
        <f>E26-(E26*'Table 3'!$B$22)</f>
        <v>0.9000874278732446</v>
      </c>
      <c r="F27" s="205">
        <f>F26-(F26*'Table 3'!$B$22)</f>
        <v>1306.652124920271</v>
      </c>
      <c r="G27" s="73">
        <f t="shared" si="0"/>
        <v>36.64801353816913</v>
      </c>
      <c r="H27" s="73">
        <f t="shared" si="1"/>
        <v>36.64801353816913</v>
      </c>
      <c r="I27" s="196">
        <f>1/(1+'Table 5'!$B$5)^B27</f>
        <v>0.2659511800193556</v>
      </c>
      <c r="J27" s="73">
        <f t="shared" si="2"/>
        <v>9.7465824458414</v>
      </c>
      <c r="K27" s="73">
        <f t="shared" si="3"/>
        <v>9.7465824458414</v>
      </c>
      <c r="L27" s="86">
        <f t="shared" si="4"/>
        <v>0.028047261271170635</v>
      </c>
      <c r="M27" s="87">
        <f t="shared" si="5"/>
        <v>0.028047261271170635</v>
      </c>
    </row>
    <row r="28" spans="1:13" ht="15">
      <c r="A28" s="32">
        <v>2036</v>
      </c>
      <c r="B28" s="59">
        <v>22</v>
      </c>
      <c r="C28" s="81">
        <f>'Table 5'!$B$18</f>
        <v>40.7160597996155</v>
      </c>
      <c r="D28" s="21">
        <v>1</v>
      </c>
      <c r="E28" s="196">
        <f>E27-(E27*'Table 3'!$B$22)</f>
        <v>0.8955869907338784</v>
      </c>
      <c r="F28" s="205">
        <f>F27-(F27*'Table 3'!$B$22)</f>
        <v>1300.1188642956697</v>
      </c>
      <c r="G28" s="73">
        <f t="shared" si="0"/>
        <v>36.464773470478285</v>
      </c>
      <c r="H28" s="73">
        <f t="shared" si="1"/>
        <v>36.464773470478285</v>
      </c>
      <c r="I28" s="196">
        <f>1/(1+'Table 5'!$B$5)^B28</f>
        <v>0.24969597222735485</v>
      </c>
      <c r="J28" s="73">
        <f t="shared" si="2"/>
        <v>9.10510706376133</v>
      </c>
      <c r="K28" s="73">
        <f t="shared" si="3"/>
        <v>9.10510706376133</v>
      </c>
      <c r="L28" s="86">
        <f t="shared" si="4"/>
        <v>0.02804726127117063</v>
      </c>
      <c r="M28" s="87">
        <f t="shared" si="5"/>
        <v>0.028047261271170635</v>
      </c>
    </row>
    <row r="29" spans="1:13" ht="15">
      <c r="A29" s="32">
        <v>2037</v>
      </c>
      <c r="B29" s="59">
        <v>23</v>
      </c>
      <c r="C29" s="81">
        <f>'Table 5'!$B$18</f>
        <v>40.7160597996155</v>
      </c>
      <c r="D29" s="21">
        <v>1</v>
      </c>
      <c r="E29" s="196">
        <f>E28-(E28*'Table 3'!$B$22)</f>
        <v>0.8911090557802089</v>
      </c>
      <c r="F29" s="205">
        <f>F28-(F28*'Table 3'!$B$22)</f>
        <v>1293.6182699741914</v>
      </c>
      <c r="G29" s="73">
        <f t="shared" si="0"/>
        <v>36.28244960312589</v>
      </c>
      <c r="H29" s="73">
        <f t="shared" si="1"/>
        <v>36.2824496031259</v>
      </c>
      <c r="I29" s="196">
        <f>1/(1+'Table 5'!$B$5)^B29</f>
        <v>0.23443429934030127</v>
      </c>
      <c r="J29" s="73">
        <f t="shared" si="2"/>
        <v>8.50585065105861</v>
      </c>
      <c r="K29" s="73">
        <f t="shared" si="3"/>
        <v>8.505850651058612</v>
      </c>
      <c r="L29" s="86">
        <f t="shared" si="4"/>
        <v>0.028047261271170628</v>
      </c>
      <c r="M29" s="87">
        <f t="shared" si="5"/>
        <v>0.028047261271170635</v>
      </c>
    </row>
    <row r="30" spans="1:13" ht="15">
      <c r="A30" s="32">
        <v>2038</v>
      </c>
      <c r="B30" s="59">
        <v>24</v>
      </c>
      <c r="C30" s="81">
        <f>'Table 5'!$B$18</f>
        <v>40.7160597996155</v>
      </c>
      <c r="D30" s="21">
        <v>1</v>
      </c>
      <c r="E30" s="196">
        <f>E29-(E29*'Table 3'!$B$22)</f>
        <v>0.8866535105013079</v>
      </c>
      <c r="F30" s="205">
        <f>F29-(F29*'Table 3'!$B$22)</f>
        <v>1287.1501786243205</v>
      </c>
      <c r="G30" s="73">
        <f t="shared" si="0"/>
        <v>36.101037355110265</v>
      </c>
      <c r="H30" s="73">
        <f t="shared" si="1"/>
        <v>36.10103735511027</v>
      </c>
      <c r="I30" s="196">
        <f>1/(1+'Table 5'!$B$5)^B30</f>
        <v>0.2201054354899082</v>
      </c>
      <c r="J30" s="73">
        <f t="shared" si="2"/>
        <v>7.946034548683989</v>
      </c>
      <c r="K30" s="73">
        <f t="shared" si="3"/>
        <v>7.946034548683991</v>
      </c>
      <c r="L30" s="86">
        <f t="shared" si="4"/>
        <v>0.02804726127117063</v>
      </c>
      <c r="M30" s="87">
        <f t="shared" si="5"/>
        <v>0.028047261271170635</v>
      </c>
    </row>
    <row r="31" spans="12:13" ht="15" thickBot="1">
      <c r="L31" s="65"/>
      <c r="M31" s="65"/>
    </row>
    <row r="32" spans="7:13" ht="15" thickBot="1">
      <c r="G32" s="88" t="s">
        <v>144</v>
      </c>
      <c r="H32" s="50"/>
      <c r="I32" s="50"/>
      <c r="J32" s="75">
        <f>SUM(J6:J31)</f>
        <v>505.8540786965755</v>
      </c>
      <c r="K32" s="76">
        <f>SUM(K6:K31)</f>
        <v>505.8540786965756</v>
      </c>
      <c r="L32" s="99"/>
      <c r="M32" s="65"/>
    </row>
    <row r="33" ht="15" thickBot="1"/>
    <row r="34" spans="6:8" ht="15" thickBot="1">
      <c r="F34" s="49" t="s">
        <v>168</v>
      </c>
      <c r="G34" s="83"/>
      <c r="H34" s="90">
        <f>SUMPRODUCT(G6:G30,I6:I30)/SUMPRODUCT(F6:F30,I6:I30)</f>
        <v>0.028047261271170635</v>
      </c>
    </row>
    <row r="36" ht="15">
      <c r="A36" s="85" t="s">
        <v>169</v>
      </c>
    </row>
    <row r="37" ht="15">
      <c r="A37" t="s">
        <v>170</v>
      </c>
    </row>
    <row r="39" ht="15">
      <c r="A39" t="s">
        <v>615</v>
      </c>
    </row>
    <row r="40" ht="15">
      <c r="A40" t="s">
        <v>616</v>
      </c>
    </row>
    <row r="41" ht="15">
      <c r="A41" t="s">
        <v>617</v>
      </c>
    </row>
    <row r="42" ht="15">
      <c r="A42" t="s">
        <v>460</v>
      </c>
    </row>
    <row r="43" ht="15">
      <c r="A43" t="s">
        <v>461</v>
      </c>
    </row>
  </sheetData>
  <mergeCells count="6">
    <mergeCell ref="A1:M1"/>
    <mergeCell ref="A4:A5"/>
    <mergeCell ref="G3:H3"/>
    <mergeCell ref="J3:K3"/>
    <mergeCell ref="L3:M3"/>
    <mergeCell ref="A2:M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9"/>
  <sheetViews>
    <sheetView workbookViewId="0" topLeftCell="A1">
      <selection activeCell="H63" sqref="H62:H63"/>
    </sheetView>
  </sheetViews>
  <sheetFormatPr defaultColWidth="9.140625" defaultRowHeight="15"/>
  <cols>
    <col min="2" max="2" width="0.85546875" style="0" customWidth="1"/>
    <col min="3" max="3" width="29.140625" style="3" customWidth="1"/>
    <col min="4" max="4" width="9.00390625" style="103" customWidth="1"/>
    <col min="5" max="5" width="15.7109375" style="103" customWidth="1"/>
    <col min="6" max="6" width="15.00390625" style="103" customWidth="1"/>
    <col min="7" max="7" width="15.421875" style="0" customWidth="1"/>
    <col min="8" max="8" width="15.7109375" style="0" customWidth="1"/>
    <col min="9" max="9" width="13.00390625" style="0" customWidth="1"/>
    <col min="10" max="10" width="10.140625" style="0" customWidth="1"/>
    <col min="12" max="12" width="18.00390625" style="0" customWidth="1"/>
    <col min="13" max="13" width="10.57421875" style="0" customWidth="1"/>
  </cols>
  <sheetData>
    <row r="2" spans="1:18" ht="28.8">
      <c r="A2" s="93"/>
      <c r="B2" s="268"/>
      <c r="C2" s="246"/>
      <c r="D2" s="243" t="s">
        <v>39</v>
      </c>
      <c r="E2" s="244" t="s">
        <v>691</v>
      </c>
      <c r="F2" s="244" t="s">
        <v>690</v>
      </c>
      <c r="G2" s="244" t="s">
        <v>690</v>
      </c>
      <c r="H2" s="244" t="s">
        <v>171</v>
      </c>
      <c r="I2" s="244" t="s">
        <v>694</v>
      </c>
      <c r="J2" s="41"/>
      <c r="K2" s="41"/>
      <c r="L2" s="170"/>
      <c r="M2" s="93"/>
      <c r="N2" s="93"/>
      <c r="O2" s="93"/>
      <c r="P2" s="93"/>
      <c r="Q2" s="93"/>
      <c r="R2" s="93"/>
    </row>
    <row r="3" spans="1:18" ht="15">
      <c r="A3" s="93"/>
      <c r="B3" s="268"/>
      <c r="C3" s="246"/>
      <c r="D3" s="243"/>
      <c r="E3" s="243" t="s">
        <v>142</v>
      </c>
      <c r="F3" s="243" t="s">
        <v>133</v>
      </c>
      <c r="G3" s="243" t="s">
        <v>693</v>
      </c>
      <c r="H3" s="243" t="s">
        <v>692</v>
      </c>
      <c r="I3" s="243" t="s">
        <v>695</v>
      </c>
      <c r="J3" s="41"/>
      <c r="K3" s="41"/>
      <c r="L3">
        <f>128974628/F4</f>
        <v>1.2189944177692065</v>
      </c>
      <c r="M3" s="93"/>
      <c r="N3" s="93"/>
      <c r="O3" s="93"/>
      <c r="P3" s="93"/>
      <c r="Q3" s="93"/>
      <c r="R3" s="93"/>
    </row>
    <row r="4" spans="1:18" ht="15">
      <c r="A4" s="93"/>
      <c r="B4" s="268"/>
      <c r="C4" s="246"/>
      <c r="D4" s="236">
        <v>2004</v>
      </c>
      <c r="E4" s="245">
        <v>6576559</v>
      </c>
      <c r="F4" s="245">
        <v>105804117</v>
      </c>
      <c r="G4" s="212">
        <f>F4*(1+'Table 5'!$F$24)^(2014-D4)</f>
        <v>128974628.23547243</v>
      </c>
      <c r="H4" s="128">
        <v>0.123</v>
      </c>
      <c r="I4" s="212">
        <f>G4*H4</f>
        <v>15863879.272963108</v>
      </c>
      <c r="J4" s="41"/>
      <c r="K4" s="41"/>
      <c r="L4">
        <f>129117167/F5</f>
        <v>1.195092573066978</v>
      </c>
      <c r="M4" s="93"/>
      <c r="N4" s="93"/>
      <c r="O4" s="93"/>
      <c r="P4" s="93"/>
      <c r="Q4" s="93"/>
      <c r="R4" s="93"/>
    </row>
    <row r="5" spans="1:18" ht="15">
      <c r="A5" s="93"/>
      <c r="B5" s="268"/>
      <c r="C5" s="246"/>
      <c r="D5" s="236">
        <v>2005</v>
      </c>
      <c r="E5" s="245">
        <v>6379170</v>
      </c>
      <c r="F5" s="245">
        <v>108039469</v>
      </c>
      <c r="G5" s="212">
        <f>F5*(1+'Table 5'!$F$24)^(2014-D5)</f>
        <v>129117166.51980053</v>
      </c>
      <c r="H5" s="128">
        <v>0.113</v>
      </c>
      <c r="I5" s="212">
        <f aca="true" t="shared" si="0" ref="I5:I13">G5*H5</f>
        <v>14590239.81673746</v>
      </c>
      <c r="J5" s="41"/>
      <c r="K5" s="41"/>
      <c r="M5" s="93"/>
      <c r="N5" s="93"/>
      <c r="O5" s="93"/>
      <c r="P5" s="93"/>
      <c r="Q5" s="93"/>
      <c r="R5" s="93"/>
    </row>
    <row r="6" spans="1:18" ht="15">
      <c r="A6" s="93"/>
      <c r="B6" s="268"/>
      <c r="C6" s="246"/>
      <c r="D6" s="236">
        <v>2006</v>
      </c>
      <c r="E6" s="245">
        <v>6764087</v>
      </c>
      <c r="F6" s="245">
        <v>105071496</v>
      </c>
      <c r="G6" s="212">
        <f>F6*(1+'Table 5'!$F$24)^(2014-D6)</f>
        <v>123108003.96434201</v>
      </c>
      <c r="H6" s="128">
        <v>0.12</v>
      </c>
      <c r="I6" s="212">
        <f t="shared" si="0"/>
        <v>14772960.47572104</v>
      </c>
      <c r="J6" s="41"/>
      <c r="K6" s="41"/>
      <c r="M6" s="93"/>
      <c r="N6" s="93"/>
      <c r="O6" s="93"/>
      <c r="P6" s="93"/>
      <c r="Q6" s="93"/>
      <c r="R6" s="93"/>
    </row>
    <row r="7" spans="1:18" ht="15">
      <c r="A7" s="93"/>
      <c r="B7" s="268"/>
      <c r="C7" s="246"/>
      <c r="D7" s="236">
        <v>2007</v>
      </c>
      <c r="E7" s="245">
        <v>6567034</v>
      </c>
      <c r="F7" s="245">
        <v>108937389</v>
      </c>
      <c r="G7" s="212">
        <f>F7*(1+'Table 5'!$F$24)^(2014-D7)</f>
        <v>125134817.41543432</v>
      </c>
      <c r="H7" s="128">
        <v>0.121</v>
      </c>
      <c r="I7" s="212">
        <f t="shared" si="0"/>
        <v>15141312.907267552</v>
      </c>
      <c r="J7" s="41"/>
      <c r="K7" s="41"/>
      <c r="M7" s="93"/>
      <c r="N7" s="93"/>
      <c r="O7" s="93"/>
      <c r="P7" s="93"/>
      <c r="Q7" s="93"/>
      <c r="R7" s="93"/>
    </row>
    <row r="8" spans="1:18" ht="15">
      <c r="A8" s="93"/>
      <c r="B8" s="268"/>
      <c r="C8" s="246"/>
      <c r="D8" s="236">
        <v>2008</v>
      </c>
      <c r="E8" s="245">
        <v>6463488</v>
      </c>
      <c r="F8" s="245">
        <v>138625404</v>
      </c>
      <c r="G8" s="212">
        <f>F8*(1+'Table 5'!$F$24)^(2014-D8)</f>
        <v>156114720.34008938</v>
      </c>
      <c r="H8" s="128">
        <v>0.266</v>
      </c>
      <c r="I8" s="212">
        <f t="shared" si="0"/>
        <v>41526515.610463776</v>
      </c>
      <c r="J8" s="41"/>
      <c r="K8" s="41"/>
      <c r="M8" s="93"/>
      <c r="N8" s="93"/>
      <c r="O8" s="93"/>
      <c r="P8" s="93"/>
      <c r="Q8" s="93"/>
      <c r="R8" s="93"/>
    </row>
    <row r="9" spans="1:18" ht="15">
      <c r="A9" s="93"/>
      <c r="B9" s="268"/>
      <c r="C9" s="246"/>
      <c r="D9" s="236">
        <v>2009</v>
      </c>
      <c r="E9" s="245">
        <v>6410460</v>
      </c>
      <c r="F9" s="245">
        <v>111965737</v>
      </c>
      <c r="G9" s="212">
        <f>F9*(1+'Table 5'!$F$24)^(2014-D9)</f>
        <v>123619220.83783996</v>
      </c>
      <c r="H9" s="128">
        <v>0.139</v>
      </c>
      <c r="I9" s="212">
        <f t="shared" si="0"/>
        <v>17183071.696459755</v>
      </c>
      <c r="J9" s="41"/>
      <c r="K9" s="41"/>
      <c r="M9" s="93"/>
      <c r="N9" s="93"/>
      <c r="O9" s="93"/>
      <c r="P9" s="93"/>
      <c r="Q9" s="93"/>
      <c r="R9" s="93"/>
    </row>
    <row r="10" spans="1:18" ht="15">
      <c r="A10" s="93"/>
      <c r="B10" s="268"/>
      <c r="C10" s="246"/>
      <c r="D10" s="236">
        <v>2010</v>
      </c>
      <c r="E10" s="245">
        <v>6788458</v>
      </c>
      <c r="F10" s="245">
        <v>129634955</v>
      </c>
      <c r="G10" s="212">
        <f>F10*(1+'Table 5'!$F$24)^(2014-D10)</f>
        <v>140321044.3521528</v>
      </c>
      <c r="H10" s="128">
        <v>0.141</v>
      </c>
      <c r="I10" s="212">
        <f t="shared" si="0"/>
        <v>19785267.25365354</v>
      </c>
      <c r="J10" s="41"/>
      <c r="K10" s="41"/>
      <c r="M10" s="93"/>
      <c r="N10" s="93"/>
      <c r="O10" s="93"/>
      <c r="P10" s="93"/>
      <c r="Q10" s="93"/>
      <c r="R10" s="93"/>
    </row>
    <row r="11" spans="1:18" ht="15">
      <c r="A11" s="93"/>
      <c r="B11" s="268"/>
      <c r="C11" s="246"/>
      <c r="D11" s="236">
        <v>2011</v>
      </c>
      <c r="E11" s="245">
        <v>7221289</v>
      </c>
      <c r="F11" s="245">
        <v>122977640</v>
      </c>
      <c r="G11" s="212">
        <f>F11*(1+'Table 5'!$F$24)^(2014-D11)</f>
        <v>130504855.38912</v>
      </c>
      <c r="H11" s="128">
        <v>0.149</v>
      </c>
      <c r="I11" s="212">
        <f t="shared" si="0"/>
        <v>19445223.45297888</v>
      </c>
      <c r="J11" s="41"/>
      <c r="K11" s="41"/>
      <c r="M11" s="93"/>
      <c r="N11" s="93"/>
      <c r="O11" s="93"/>
      <c r="P11" s="93"/>
      <c r="Q11" s="93"/>
      <c r="R11" s="93"/>
    </row>
    <row r="12" spans="1:18" ht="15">
      <c r="A12" s="93"/>
      <c r="B12" s="268"/>
      <c r="C12" s="246"/>
      <c r="D12" s="236">
        <v>2012</v>
      </c>
      <c r="E12" s="245">
        <v>7194862</v>
      </c>
      <c r="F12" s="245">
        <v>140736365</v>
      </c>
      <c r="G12" s="212">
        <f>F12*(1+'Table 5'!$F$24)^(2014-D12)</f>
        <v>146422114.146</v>
      </c>
      <c r="H12" s="128">
        <v>0.242</v>
      </c>
      <c r="I12" s="212">
        <f t="shared" si="0"/>
        <v>35434151.623332</v>
      </c>
      <c r="J12" s="93"/>
      <c r="K12" s="93"/>
      <c r="M12" s="93"/>
      <c r="N12" s="144"/>
      <c r="O12" s="93"/>
      <c r="P12" s="93"/>
      <c r="Q12" s="93"/>
      <c r="R12" s="93"/>
    </row>
    <row r="13" spans="1:18" ht="15">
      <c r="A13" s="93"/>
      <c r="B13" s="268"/>
      <c r="C13" s="246"/>
      <c r="D13" s="236">
        <v>2013</v>
      </c>
      <c r="E13" s="245">
        <v>7283692</v>
      </c>
      <c r="F13" s="245">
        <v>172580006</v>
      </c>
      <c r="G13" s="212">
        <f>F13*(1+'Table 5'!$F$24)^(2014-D13)</f>
        <v>176031606.12</v>
      </c>
      <c r="H13" s="128">
        <v>0.248</v>
      </c>
      <c r="I13" s="212">
        <f t="shared" si="0"/>
        <v>43655838.31776</v>
      </c>
      <c r="J13" s="93"/>
      <c r="K13" s="93"/>
      <c r="M13" s="93"/>
      <c r="N13" s="93"/>
      <c r="O13" s="93"/>
      <c r="P13" s="93"/>
      <c r="Q13" s="93"/>
      <c r="R13" s="93"/>
    </row>
    <row r="14" spans="1:18" ht="15">
      <c r="A14" s="93"/>
      <c r="B14" s="268"/>
      <c r="C14" s="246"/>
      <c r="E14" s="245"/>
      <c r="I14" s="247">
        <f>SUM(I4:I13)</f>
        <v>237398460.4273371</v>
      </c>
      <c r="J14" s="93"/>
      <c r="K14" s="93"/>
      <c r="M14" s="93"/>
      <c r="N14" s="93"/>
      <c r="O14" s="93"/>
      <c r="P14" s="93"/>
      <c r="Q14" s="93"/>
      <c r="R14" s="93"/>
    </row>
    <row r="15" spans="1:18" ht="15">
      <c r="A15" s="93"/>
      <c r="B15" s="268"/>
      <c r="C15" s="246"/>
      <c r="D15" s="103" t="s">
        <v>700</v>
      </c>
      <c r="E15" s="248">
        <f>SUM(E4:E13)/10</f>
        <v>6764909.9</v>
      </c>
      <c r="J15" s="93"/>
      <c r="K15" s="93"/>
      <c r="L15">
        <f>237398460/G17</f>
        <v>335.7196736681784</v>
      </c>
      <c r="M15" s="93"/>
      <c r="N15" s="93"/>
      <c r="O15" s="93"/>
      <c r="P15" s="93"/>
      <c r="Q15" s="93"/>
      <c r="R15" s="93"/>
    </row>
    <row r="16" spans="1:18" ht="15">
      <c r="A16" s="93"/>
      <c r="B16" s="268"/>
      <c r="C16" s="246"/>
      <c r="J16" s="93"/>
      <c r="K16" s="93"/>
      <c r="L16" s="93"/>
      <c r="M16" s="93"/>
      <c r="N16" s="93"/>
      <c r="O16" s="93"/>
      <c r="P16" s="93"/>
      <c r="Q16" s="93"/>
      <c r="R16" s="93"/>
    </row>
    <row r="17" spans="1:7" ht="15">
      <c r="A17" s="267"/>
      <c r="B17" s="267"/>
      <c r="C17" s="267"/>
      <c r="D17" s="123" t="s">
        <v>697</v>
      </c>
      <c r="G17" s="245">
        <f>E13-E4</f>
        <v>707133</v>
      </c>
    </row>
    <row r="18" spans="4:8" ht="15">
      <c r="D18" s="123" t="s">
        <v>696</v>
      </c>
      <c r="G18" s="128">
        <f>(E13/E4)^(1/(D13-D4))-1</f>
        <v>0.011411982836422974</v>
      </c>
      <c r="H18" s="128">
        <f>((F13/F4)^(1/9))-1</f>
        <v>0.055868340564153574</v>
      </c>
    </row>
    <row r="19" spans="4:7" ht="15">
      <c r="D19" s="123" t="s">
        <v>698</v>
      </c>
      <c r="G19" s="104">
        <f>I14/G17</f>
        <v>335.71967427250195</v>
      </c>
    </row>
    <row r="20" spans="4:7" ht="15">
      <c r="D20" s="123" t="s">
        <v>699</v>
      </c>
      <c r="E20" s="123"/>
      <c r="G20" s="128">
        <f>(F13/F4)^(1/(D13-D4))-1</f>
        <v>0.055868340564153574</v>
      </c>
    </row>
    <row r="21" spans="5:7" ht="15">
      <c r="E21" s="123"/>
      <c r="G21" s="128"/>
    </row>
    <row r="22" ht="15">
      <c r="A22" s="38" t="s">
        <v>188</v>
      </c>
    </row>
    <row r="23" ht="15">
      <c r="A23" t="s">
        <v>172</v>
      </c>
    </row>
    <row r="26" ht="15">
      <c r="A26" t="s">
        <v>529</v>
      </c>
    </row>
    <row r="28" ht="15">
      <c r="A28" t="s">
        <v>543</v>
      </c>
    </row>
    <row r="29" ht="15">
      <c r="A29" t="s">
        <v>530</v>
      </c>
    </row>
    <row r="30" ht="15">
      <c r="A30" t="s">
        <v>531</v>
      </c>
    </row>
    <row r="32" ht="15">
      <c r="A32" t="s">
        <v>544</v>
      </c>
    </row>
    <row r="33" ht="15">
      <c r="A33" t="s">
        <v>532</v>
      </c>
    </row>
    <row r="34" ht="15">
      <c r="A34" t="s">
        <v>533</v>
      </c>
    </row>
    <row r="35" ht="15">
      <c r="A35" t="s">
        <v>534</v>
      </c>
    </row>
    <row r="36" ht="15">
      <c r="A36" t="s">
        <v>535</v>
      </c>
    </row>
    <row r="37" ht="15">
      <c r="A37" t="s">
        <v>536</v>
      </c>
    </row>
    <row r="39" ht="15">
      <c r="A39" t="s">
        <v>537</v>
      </c>
    </row>
    <row r="40" ht="15">
      <c r="A40" t="s">
        <v>538</v>
      </c>
    </row>
    <row r="41" ht="15">
      <c r="A41" t="s">
        <v>539</v>
      </c>
    </row>
    <row r="43" ht="15">
      <c r="A43" t="s">
        <v>540</v>
      </c>
    </row>
    <row r="44" ht="15">
      <c r="A44" t="s">
        <v>541</v>
      </c>
    </row>
    <row r="45" ht="15">
      <c r="A45" t="s">
        <v>542</v>
      </c>
    </row>
    <row r="47" spans="1:5" ht="15">
      <c r="A47" t="s">
        <v>555</v>
      </c>
      <c r="C47" s="107"/>
      <c r="D47" s="107"/>
      <c r="E47"/>
    </row>
    <row r="48" spans="1:5" ht="15">
      <c r="A48" t="s">
        <v>556</v>
      </c>
      <c r="C48" s="107"/>
      <c r="D48" s="107"/>
      <c r="E48"/>
    </row>
    <row r="49" spans="1:5" ht="15">
      <c r="A49" t="s">
        <v>557</v>
      </c>
      <c r="C49" s="107"/>
      <c r="D49" s="107"/>
      <c r="E49"/>
    </row>
    <row r="50" spans="3:5" ht="15">
      <c r="C50" s="107"/>
      <c r="D50" s="107"/>
      <c r="E50"/>
    </row>
    <row r="51" spans="3:5" ht="15">
      <c r="C51" s="166" t="s">
        <v>559</v>
      </c>
      <c r="D51" s="107"/>
      <c r="E51"/>
    </row>
    <row r="52" spans="3:5" ht="15">
      <c r="C52" s="103" t="s">
        <v>560</v>
      </c>
      <c r="D52" s="107" t="s">
        <v>561</v>
      </c>
      <c r="E52"/>
    </row>
    <row r="53" spans="3:5" ht="15">
      <c r="C53" s="107"/>
      <c r="D53" s="107"/>
      <c r="E53"/>
    </row>
    <row r="54" spans="1:13" ht="15">
      <c r="A54" s="254" t="s">
        <v>545</v>
      </c>
      <c r="B54" s="255"/>
      <c r="C54" s="256"/>
      <c r="D54" s="257"/>
      <c r="E54" s="257"/>
      <c r="F54" s="257"/>
      <c r="G54" s="255"/>
      <c r="H54" s="255"/>
      <c r="I54" s="255"/>
      <c r="J54" s="255"/>
      <c r="K54" s="255"/>
      <c r="L54" s="255"/>
      <c r="M54" s="255"/>
    </row>
    <row r="55" spans="1:13" ht="15">
      <c r="A55" s="254" t="s">
        <v>546</v>
      </c>
      <c r="B55" s="255"/>
      <c r="C55" s="256"/>
      <c r="D55" s="257"/>
      <c r="E55" s="257"/>
      <c r="F55" s="257"/>
      <c r="G55" s="255"/>
      <c r="H55" s="255"/>
      <c r="I55" s="255"/>
      <c r="J55" s="255"/>
      <c r="K55" s="255"/>
      <c r="L55" s="255"/>
      <c r="M55" s="255"/>
    </row>
    <row r="56" spans="1:13" ht="15">
      <c r="A56" s="254" t="s">
        <v>547</v>
      </c>
      <c r="B56" s="255"/>
      <c r="C56" s="256"/>
      <c r="D56" s="257"/>
      <c r="E56" s="257"/>
      <c r="F56" s="257"/>
      <c r="G56" s="255"/>
      <c r="H56" s="255"/>
      <c r="I56" s="255"/>
      <c r="J56" s="255"/>
      <c r="K56" s="255"/>
      <c r="L56" s="255"/>
      <c r="M56" s="255"/>
    </row>
    <row r="57" spans="1:13" ht="15">
      <c r="A57" s="254"/>
      <c r="B57" s="255"/>
      <c r="C57" s="256"/>
      <c r="D57" s="257"/>
      <c r="E57" s="257"/>
      <c r="F57" s="257"/>
      <c r="G57" s="255"/>
      <c r="H57" s="258"/>
      <c r="I57" s="255"/>
      <c r="J57" s="255"/>
      <c r="K57" s="255"/>
      <c r="L57" s="255"/>
      <c r="M57" s="255"/>
    </row>
    <row r="58" ht="15">
      <c r="A58" s="171"/>
    </row>
    <row r="59" ht="15">
      <c r="A59" s="171"/>
    </row>
  </sheetData>
  <mergeCells count="2">
    <mergeCell ref="A17:C17"/>
    <mergeCell ref="B2:B16"/>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2"/>
  <sheetViews>
    <sheetView workbookViewId="0" topLeftCell="A1">
      <selection activeCell="A80" sqref="A80:N86"/>
    </sheetView>
  </sheetViews>
  <sheetFormatPr defaultColWidth="9.140625" defaultRowHeight="15"/>
  <cols>
    <col min="2" max="2" width="10.7109375" style="0" customWidth="1"/>
    <col min="3" max="3" width="10.8515625" style="0" customWidth="1"/>
    <col min="4" max="4" width="11.421875" style="0" customWidth="1"/>
    <col min="5" max="5" width="13.140625" style="0" bestFit="1" customWidth="1"/>
    <col min="6" max="6" width="12.8515625" style="0" customWidth="1"/>
    <col min="7" max="7" width="14.8515625" style="0" customWidth="1"/>
    <col min="8" max="8" width="12.140625" style="0" customWidth="1"/>
    <col min="9" max="9" width="15.7109375" style="0" customWidth="1"/>
    <col min="10" max="10" width="11.7109375" style="0" customWidth="1"/>
    <col min="11" max="11" width="10.8515625" style="0" customWidth="1"/>
    <col min="12" max="12" width="12.28125" style="0" customWidth="1"/>
    <col min="14" max="14" width="13.421875" style="0" customWidth="1"/>
  </cols>
  <sheetData>
    <row r="2" spans="1:19" ht="15">
      <c r="A2" s="261" t="s">
        <v>565</v>
      </c>
      <c r="B2" s="261"/>
      <c r="C2" s="261"/>
      <c r="D2" s="261"/>
      <c r="E2" s="261"/>
      <c r="F2" s="261"/>
      <c r="G2" s="261"/>
      <c r="H2" s="261"/>
      <c r="I2" s="261"/>
      <c r="J2" s="261"/>
      <c r="K2" s="261"/>
      <c r="L2" s="261"/>
      <c r="M2" s="261"/>
      <c r="N2" s="261"/>
      <c r="O2" s="261"/>
      <c r="P2" s="261"/>
      <c r="Q2" s="261"/>
      <c r="R2" s="261"/>
      <c r="S2" s="261"/>
    </row>
    <row r="3" spans="1:19" ht="15">
      <c r="A3" s="6"/>
      <c r="B3" s="6"/>
      <c r="C3" s="262" t="s">
        <v>179</v>
      </c>
      <c r="D3" s="262"/>
      <c r="E3" s="262"/>
      <c r="F3" s="262"/>
      <c r="G3" s="262"/>
      <c r="H3" s="262" t="s">
        <v>181</v>
      </c>
      <c r="I3" s="262"/>
      <c r="J3" s="262"/>
      <c r="K3" s="262"/>
      <c r="L3" s="6"/>
      <c r="M3" s="262" t="s">
        <v>126</v>
      </c>
      <c r="N3" s="262"/>
      <c r="O3" s="10"/>
      <c r="P3" s="262" t="s">
        <v>129</v>
      </c>
      <c r="Q3" s="262"/>
      <c r="R3" s="262" t="s">
        <v>122</v>
      </c>
      <c r="S3" s="262"/>
    </row>
    <row r="4" spans="1:19" ht="28.8">
      <c r="A4" s="262" t="s">
        <v>39</v>
      </c>
      <c r="B4" s="37" t="s">
        <v>134</v>
      </c>
      <c r="C4" s="37" t="s">
        <v>173</v>
      </c>
      <c r="D4" s="37" t="s">
        <v>174</v>
      </c>
      <c r="E4" s="37" t="s">
        <v>175</v>
      </c>
      <c r="F4" s="37" t="s">
        <v>176</v>
      </c>
      <c r="G4" s="37" t="s">
        <v>177</v>
      </c>
      <c r="H4" s="37" t="s">
        <v>178</v>
      </c>
      <c r="I4" s="37" t="s">
        <v>180</v>
      </c>
      <c r="J4" s="37" t="s">
        <v>176</v>
      </c>
      <c r="K4" s="37" t="s">
        <v>177</v>
      </c>
      <c r="L4" s="37" t="s">
        <v>125</v>
      </c>
      <c r="M4" s="37" t="s">
        <v>127</v>
      </c>
      <c r="N4" s="37" t="s">
        <v>124</v>
      </c>
      <c r="O4" s="37" t="s">
        <v>140</v>
      </c>
      <c r="P4" s="37" t="s">
        <v>127</v>
      </c>
      <c r="Q4" s="37" t="s">
        <v>124</v>
      </c>
      <c r="R4" s="37" t="s">
        <v>127</v>
      </c>
      <c r="S4" s="37" t="s">
        <v>124</v>
      </c>
    </row>
    <row r="5" spans="1:19" ht="15">
      <c r="A5" s="262"/>
      <c r="C5" s="36" t="s">
        <v>143</v>
      </c>
      <c r="D5" s="36" t="s">
        <v>182</v>
      </c>
      <c r="E5" s="36" t="s">
        <v>183</v>
      </c>
      <c r="F5" s="36" t="s">
        <v>183</v>
      </c>
      <c r="G5" s="36" t="s">
        <v>184</v>
      </c>
      <c r="H5" s="36" t="s">
        <v>182</v>
      </c>
      <c r="I5" s="36" t="s">
        <v>183</v>
      </c>
      <c r="J5" s="36" t="s">
        <v>183</v>
      </c>
      <c r="K5" s="36" t="s">
        <v>184</v>
      </c>
      <c r="L5" s="36" t="s">
        <v>132</v>
      </c>
      <c r="M5" s="36" t="s">
        <v>133</v>
      </c>
      <c r="N5" s="36" t="s">
        <v>133</v>
      </c>
      <c r="O5" s="36"/>
      <c r="P5" s="36" t="s">
        <v>133</v>
      </c>
      <c r="Q5" s="36" t="s">
        <v>133</v>
      </c>
      <c r="R5" s="36" t="s">
        <v>133</v>
      </c>
      <c r="S5" s="36" t="s">
        <v>133</v>
      </c>
    </row>
    <row r="6" spans="1:19" ht="15">
      <c r="A6" s="32">
        <v>2014</v>
      </c>
      <c r="B6" s="32">
        <v>0</v>
      </c>
      <c r="C6" s="21">
        <f>'Table 5'!F23</f>
        <v>335.71967427250195</v>
      </c>
      <c r="D6" s="109">
        <f>'Table 5'!$F$25*'Table 5'!$F$26</f>
        <v>83.12488298050494</v>
      </c>
      <c r="E6" s="108">
        <f>(C6/1000)*D6</f>
        <v>27.906658638154955</v>
      </c>
      <c r="F6" s="108">
        <f>E6*O6</f>
        <v>27.906658638154955</v>
      </c>
      <c r="G6" s="108">
        <f>$F$34</f>
        <v>45.749579270602354</v>
      </c>
      <c r="H6" s="36"/>
      <c r="I6" s="113"/>
      <c r="J6" s="113"/>
      <c r="K6" s="113">
        <f>$J$34</f>
        <v>43.81238461742034</v>
      </c>
      <c r="L6" s="77">
        <f>'Table 5'!B15</f>
        <v>1451.69467371372</v>
      </c>
      <c r="M6" s="36">
        <f>((G6-K6)/D6)*1000</f>
        <v>23.304630138683464</v>
      </c>
      <c r="N6" s="36">
        <f>S6*L6</f>
        <v>22.08605337276128</v>
      </c>
      <c r="O6" s="19">
        <v>1</v>
      </c>
      <c r="P6" s="36">
        <f>M6*O6</f>
        <v>23.304630138683464</v>
      </c>
      <c r="Q6" s="36">
        <f>N6*O6</f>
        <v>22.08605337276128</v>
      </c>
      <c r="R6" s="36">
        <f>M6/L6</f>
        <v>0.016053396461850784</v>
      </c>
      <c r="S6" s="112">
        <f>$N$35</f>
        <v>0.01521397975254729</v>
      </c>
    </row>
    <row r="7" spans="1:19" ht="15">
      <c r="A7" s="32">
        <v>2015</v>
      </c>
      <c r="B7" s="32">
        <v>1</v>
      </c>
      <c r="C7" s="21">
        <f>C6+(C6*'Table 5'!$F$24)</f>
        <v>342.434067757952</v>
      </c>
      <c r="D7" s="109">
        <f>D6+(D6*'Table 5'!$F$26)</f>
        <v>84.07350271835813</v>
      </c>
      <c r="E7" s="108">
        <f aca="true" t="shared" si="0" ref="E7:E30">(C7/1000)*D7</f>
        <v>28.789631526506607</v>
      </c>
      <c r="F7" s="108">
        <f aca="true" t="shared" si="1" ref="F7:F30">E7*O7</f>
        <v>27.02997983898846</v>
      </c>
      <c r="G7" s="108">
        <f aca="true" t="shared" si="2" ref="G7:G30">$F$34</f>
        <v>45.749579270602354</v>
      </c>
      <c r="H7" s="109">
        <f>D6</f>
        <v>83.12488298050494</v>
      </c>
      <c r="I7" s="113">
        <f>(C7/1000)*H7</f>
        <v>28.464791810918058</v>
      </c>
      <c r="J7" s="113">
        <f>I7*O7</f>
        <v>26.72499465864056</v>
      </c>
      <c r="K7" s="113">
        <f aca="true" t="shared" si="3" ref="K7:K30">$J$34</f>
        <v>43.81238461742034</v>
      </c>
      <c r="L7" s="77">
        <f>L6-(L6*'Table 3'!$B$22)</f>
        <v>1444.4362003451515</v>
      </c>
      <c r="M7" s="36">
        <f aca="true" t="shared" si="4" ref="M7:M30">((G7-K7)/D7)*1000</f>
        <v>23.04167889461574</v>
      </c>
      <c r="N7" s="36">
        <f aca="true" t="shared" si="5" ref="N7:N30">S7*L7</f>
        <v>21.975623105897476</v>
      </c>
      <c r="O7" s="19">
        <f>1/(1+'Table 5'!$B$5)^B7</f>
        <v>0.9388789784996715</v>
      </c>
      <c r="P7" s="36">
        <f aca="true" t="shared" si="6" ref="P7:P30">M7*O7</f>
        <v>21.633347943494265</v>
      </c>
      <c r="Q7" s="36">
        <f aca="true" t="shared" si="7" ref="Q7:Q30">N7*O7</f>
        <v>20.632450573558803</v>
      </c>
      <c r="R7" s="195">
        <f aca="true" t="shared" si="8" ref="R7:R30">M7/L7</f>
        <v>0.015952022587851146</v>
      </c>
      <c r="S7" s="112">
        <f aca="true" t="shared" si="9" ref="S7:S30">$N$35</f>
        <v>0.01521397975254729</v>
      </c>
    </row>
    <row r="8" spans="1:19" ht="15">
      <c r="A8" s="32">
        <v>2016</v>
      </c>
      <c r="B8" s="32">
        <v>2</v>
      </c>
      <c r="C8" s="197">
        <f>C7+(C7*'Table 5'!$F$24)</f>
        <v>349.28274911311104</v>
      </c>
      <c r="D8" s="109">
        <f>D7+(D7*'Table 5'!$F$26)</f>
        <v>85.03294808837799</v>
      </c>
      <c r="E8" s="108">
        <f t="shared" si="0"/>
        <v>29.700541873501123</v>
      </c>
      <c r="F8" s="108">
        <f t="shared" si="1"/>
        <v>26.180841625274113</v>
      </c>
      <c r="G8" s="108">
        <f t="shared" si="2"/>
        <v>45.749579270602354</v>
      </c>
      <c r="H8" s="109">
        <f aca="true" t="shared" si="10" ref="H8:H31">D7</f>
        <v>84.07350271835813</v>
      </c>
      <c r="I8" s="113">
        <f aca="true" t="shared" si="11" ref="I8:I31">(C8/1000)*H8</f>
        <v>29.36542415703674</v>
      </c>
      <c r="J8" s="113">
        <f aca="true" t="shared" si="12" ref="J8:J31">I8*O8</f>
        <v>25.885437457298124</v>
      </c>
      <c r="K8" s="113">
        <f t="shared" si="3"/>
        <v>43.81238461742034</v>
      </c>
      <c r="L8" s="205">
        <f>L7-(L7*'Table 3'!$B$22)</f>
        <v>1437.2140193434257</v>
      </c>
      <c r="M8" s="36">
        <f t="shared" si="4"/>
        <v>22.781694587004218</v>
      </c>
      <c r="N8" s="36">
        <f t="shared" si="5"/>
        <v>21.86574499036799</v>
      </c>
      <c r="O8" s="196">
        <f>1/(1+'Table 5'!$B$5)^B8</f>
        <v>0.8814937362685866</v>
      </c>
      <c r="P8" s="36">
        <f t="shared" si="6"/>
        <v>20.081921080028184</v>
      </c>
      <c r="Q8" s="36">
        <f t="shared" si="7"/>
        <v>19.27451724785561</v>
      </c>
      <c r="R8" s="195">
        <f t="shared" si="8"/>
        <v>0.015851288868871296</v>
      </c>
      <c r="S8" s="112">
        <f t="shared" si="9"/>
        <v>0.01521397975254729</v>
      </c>
    </row>
    <row r="9" spans="1:19" ht="15">
      <c r="A9" s="32">
        <v>2017</v>
      </c>
      <c r="B9" s="32">
        <v>3</v>
      </c>
      <c r="C9" s="197">
        <f>C8+(C8*'Table 5'!$F$24)</f>
        <v>356.2684040953733</v>
      </c>
      <c r="D9" s="109">
        <f>D8+(D8*'Table 5'!$F$26)</f>
        <v>86.003342632493</v>
      </c>
      <c r="E9" s="108">
        <f t="shared" si="0"/>
        <v>30.640273626545863</v>
      </c>
      <c r="F9" s="108">
        <f t="shared" si="1"/>
        <v>25.35837881828537</v>
      </c>
      <c r="G9" s="108">
        <f t="shared" si="2"/>
        <v>45.749579270602354</v>
      </c>
      <c r="H9" s="109">
        <f t="shared" si="10"/>
        <v>85.03294808837799</v>
      </c>
      <c r="I9" s="113">
        <f t="shared" si="11"/>
        <v>30.29455271097115</v>
      </c>
      <c r="J9" s="113">
        <f t="shared" si="12"/>
        <v>25.07225467822702</v>
      </c>
      <c r="K9" s="113">
        <f t="shared" si="3"/>
        <v>43.81238461742034</v>
      </c>
      <c r="L9" s="205">
        <f>L8-(L8*'Table 3'!$B$22)</f>
        <v>1430.0279492467084</v>
      </c>
      <c r="M9" s="36">
        <f t="shared" si="4"/>
        <v>22.524643739255293</v>
      </c>
      <c r="N9" s="36">
        <f t="shared" si="5"/>
        <v>21.756416265416146</v>
      </c>
      <c r="O9" s="196">
        <f>1/(1+'Table 5'!$B$5)^B9</f>
        <v>0.8276159386617093</v>
      </c>
      <c r="P9" s="36">
        <f t="shared" si="6"/>
        <v>18.641754171284365</v>
      </c>
      <c r="Q9" s="36">
        <f t="shared" si="7"/>
        <v>18.005956869417265</v>
      </c>
      <c r="R9" s="195">
        <f t="shared" si="8"/>
        <v>0.015751191262464857</v>
      </c>
      <c r="S9" s="112">
        <f t="shared" si="9"/>
        <v>0.01521397975254729</v>
      </c>
    </row>
    <row r="10" spans="1:19" ht="15">
      <c r="A10" s="32">
        <v>2018</v>
      </c>
      <c r="B10" s="32">
        <v>4</v>
      </c>
      <c r="C10" s="197">
        <f>C9+(C9*'Table 5'!$F$24)</f>
        <v>363.39377217728077</v>
      </c>
      <c r="D10" s="109">
        <f>D9+(D9*'Table 5'!$F$26)</f>
        <v>86.98481130249002</v>
      </c>
      <c r="E10" s="108">
        <f t="shared" si="0"/>
        <v>31.609738701340813</v>
      </c>
      <c r="F10" s="108">
        <f t="shared" si="1"/>
        <v>24.561753418610028</v>
      </c>
      <c r="G10" s="108">
        <f t="shared" si="2"/>
        <v>45.749579270602354</v>
      </c>
      <c r="H10" s="109">
        <f t="shared" si="10"/>
        <v>86.003342632493</v>
      </c>
      <c r="I10" s="113">
        <f t="shared" si="11"/>
        <v>31.25307909907678</v>
      </c>
      <c r="J10" s="113">
        <f t="shared" si="12"/>
        <v>24.284617777345865</v>
      </c>
      <c r="K10" s="113">
        <f t="shared" si="3"/>
        <v>43.81238461742034</v>
      </c>
      <c r="L10" s="205">
        <f>L9-(L9*'Table 3'!$B$22)</f>
        <v>1422.877809500475</v>
      </c>
      <c r="M10" s="36">
        <f t="shared" si="4"/>
        <v>22.2704932524991</v>
      </c>
      <c r="N10" s="36">
        <f t="shared" si="5"/>
        <v>21.647634184089068</v>
      </c>
      <c r="O10" s="196">
        <f>1/(1+'Table 5'!$B$5)^B10</f>
        <v>0.7770312070807525</v>
      </c>
      <c r="P10" s="36">
        <f t="shared" si="6"/>
        <v>17.304868254273128</v>
      </c>
      <c r="Q10" s="36">
        <f t="shared" si="7"/>
        <v>16.82088732050529</v>
      </c>
      <c r="R10" s="195">
        <f t="shared" si="8"/>
        <v>0.01565172575171267</v>
      </c>
      <c r="S10" s="112">
        <f t="shared" si="9"/>
        <v>0.01521397975254729</v>
      </c>
    </row>
    <row r="11" spans="1:19" ht="15">
      <c r="A11" s="32">
        <v>2019</v>
      </c>
      <c r="B11" s="32">
        <v>5</v>
      </c>
      <c r="C11" s="197">
        <f>C10+(C10*'Table 5'!$F$24)</f>
        <v>370.6616476208264</v>
      </c>
      <c r="D11" s="109">
        <f>D10+(D10*'Table 5'!$F$26)</f>
        <v>87.97748047610352</v>
      </c>
      <c r="E11" s="108">
        <f t="shared" si="0"/>
        <v>32.60987786680162</v>
      </c>
      <c r="F11" s="108">
        <f t="shared" si="1"/>
        <v>23.7901537523207</v>
      </c>
      <c r="G11" s="108">
        <f t="shared" si="2"/>
        <v>45.749579270602354</v>
      </c>
      <c r="H11" s="109">
        <f t="shared" si="10"/>
        <v>86.98481130249002</v>
      </c>
      <c r="I11" s="113">
        <f t="shared" si="11"/>
        <v>32.24193347536763</v>
      </c>
      <c r="J11" s="113">
        <f t="shared" si="12"/>
        <v>23.521724239021907</v>
      </c>
      <c r="K11" s="113">
        <f t="shared" si="3"/>
        <v>43.81238461742034</v>
      </c>
      <c r="L11" s="205">
        <f>L10-(L10*'Table 3'!$B$22)</f>
        <v>1415.7634204529727</v>
      </c>
      <c r="M11" s="36">
        <f t="shared" si="4"/>
        <v>22.019210401327566</v>
      </c>
      <c r="N11" s="36">
        <f t="shared" si="5"/>
        <v>21.539396013168624</v>
      </c>
      <c r="O11" s="196">
        <f>1/(1+'Table 5'!$B$5)^B11</f>
        <v>0.7295382659663435</v>
      </c>
      <c r="P11" s="36">
        <f t="shared" si="6"/>
        <v>16.063856574132586</v>
      </c>
      <c r="Q11" s="36">
        <f t="shared" si="7"/>
        <v>15.71381361740941</v>
      </c>
      <c r="R11" s="195">
        <f t="shared" si="8"/>
        <v>0.015552888345061586</v>
      </c>
      <c r="S11" s="112">
        <f t="shared" si="9"/>
        <v>0.01521397975254729</v>
      </c>
    </row>
    <row r="12" spans="1:19" ht="15">
      <c r="A12" s="32">
        <v>2020</v>
      </c>
      <c r="B12" s="32">
        <v>6</v>
      </c>
      <c r="C12" s="197">
        <f>C11+(C11*'Table 5'!$F$24)</f>
        <v>378.0748805732429</v>
      </c>
      <c r="D12" s="109">
        <f>D11+(D11*'Table 5'!$F$26)</f>
        <v>88.98147797328855</v>
      </c>
      <c r="E12" s="108">
        <f t="shared" si="0"/>
        <v>33.641661657981714</v>
      </c>
      <c r="F12" s="108">
        <f t="shared" si="1"/>
        <v>23.042793643968086</v>
      </c>
      <c r="G12" s="108">
        <f t="shared" si="2"/>
        <v>45.749579270602354</v>
      </c>
      <c r="H12" s="109">
        <f t="shared" si="10"/>
        <v>87.97748047610352</v>
      </c>
      <c r="I12" s="113">
        <f t="shared" si="11"/>
        <v>33.26207542413765</v>
      </c>
      <c r="J12" s="113">
        <f t="shared" si="12"/>
        <v>22.782796758395563</v>
      </c>
      <c r="K12" s="113">
        <f t="shared" si="3"/>
        <v>43.81238461742034</v>
      </c>
      <c r="L12" s="205">
        <f>L11-(L11*'Table 3'!$B$22)</f>
        <v>1408.684603350708</v>
      </c>
      <c r="M12" s="36">
        <f t="shared" si="4"/>
        <v>21.770762829580555</v>
      </c>
      <c r="N12" s="36">
        <f t="shared" si="5"/>
        <v>21.43169903310278</v>
      </c>
      <c r="O12" s="196">
        <f>1/(1+'Table 5'!$B$5)^B12</f>
        <v>0.6849481419269022</v>
      </c>
      <c r="P12" s="36">
        <f t="shared" si="6"/>
        <v>14.91184354845247</v>
      </c>
      <c r="Q12" s="36">
        <f t="shared" si="7"/>
        <v>14.679602431060337</v>
      </c>
      <c r="R12" s="195">
        <f t="shared" si="8"/>
        <v>0.015454675076164283</v>
      </c>
      <c r="S12" s="112">
        <f t="shared" si="9"/>
        <v>0.01521397975254729</v>
      </c>
    </row>
    <row r="13" spans="1:19" ht="15">
      <c r="A13" s="32">
        <v>2021</v>
      </c>
      <c r="B13" s="32">
        <v>7</v>
      </c>
      <c r="C13" s="197">
        <f>C12+(C12*'Table 5'!$F$24)</f>
        <v>385.6363781847078</v>
      </c>
      <c r="D13" s="109">
        <f>D12+(D12*'Table 5'!$F$26)</f>
        <v>89.99693307267927</v>
      </c>
      <c r="E13" s="108">
        <f t="shared" si="0"/>
        <v>34.70609131787958</v>
      </c>
      <c r="F13" s="108">
        <f t="shared" si="1"/>
        <v>22.318911615554423</v>
      </c>
      <c r="G13" s="108">
        <f t="shared" si="2"/>
        <v>45.749579270602354</v>
      </c>
      <c r="H13" s="109">
        <f t="shared" si="10"/>
        <v>88.98147797328855</v>
      </c>
      <c r="I13" s="113">
        <f t="shared" si="11"/>
        <v>34.31449489114135</v>
      </c>
      <c r="J13" s="113">
        <f t="shared" si="12"/>
        <v>22.06708244939203</v>
      </c>
      <c r="K13" s="113">
        <f t="shared" si="3"/>
        <v>43.81238461742034</v>
      </c>
      <c r="L13" s="205">
        <f>L12-(L12*'Table 3'!$B$22)</f>
        <v>1401.6411803339543</v>
      </c>
      <c r="M13" s="36">
        <f t="shared" si="4"/>
        <v>21.525118546179588</v>
      </c>
      <c r="N13" s="36">
        <f t="shared" si="5"/>
        <v>21.324540537937267</v>
      </c>
      <c r="O13" s="196">
        <f>1/(1+'Table 5'!$B$5)^B13</f>
        <v>0.643083411817578</v>
      </c>
      <c r="P13" s="36">
        <f t="shared" si="6"/>
        <v>13.842446674454994</v>
      </c>
      <c r="Q13" s="36">
        <f t="shared" si="7"/>
        <v>13.713458284578948</v>
      </c>
      <c r="R13" s="195">
        <f t="shared" si="8"/>
        <v>0.015357082003720114</v>
      </c>
      <c r="S13" s="112">
        <f t="shared" si="9"/>
        <v>0.01521397975254729</v>
      </c>
    </row>
    <row r="14" spans="1:19" ht="15">
      <c r="A14" s="32">
        <v>2022</v>
      </c>
      <c r="B14" s="32">
        <v>8</v>
      </c>
      <c r="C14" s="197">
        <f>C13+(C13*'Table 5'!$F$24)</f>
        <v>393.34910574840194</v>
      </c>
      <c r="D14" s="109">
        <f>D13+(D13*'Table 5'!$F$26)</f>
        <v>91.0239765282354</v>
      </c>
      <c r="E14" s="108">
        <f t="shared" si="0"/>
        <v>35.80419976904492</v>
      </c>
      <c r="F14" s="108">
        <f t="shared" si="1"/>
        <v>21.61777011067087</v>
      </c>
      <c r="G14" s="108">
        <f t="shared" si="2"/>
        <v>45.749579270602354</v>
      </c>
      <c r="H14" s="109">
        <f t="shared" si="10"/>
        <v>89.99693307267927</v>
      </c>
      <c r="I14" s="113">
        <f t="shared" si="11"/>
        <v>35.40021314423717</v>
      </c>
      <c r="J14" s="113">
        <f t="shared" si="12"/>
        <v>21.37385207761291</v>
      </c>
      <c r="K14" s="113">
        <f t="shared" si="3"/>
        <v>43.81238461742034</v>
      </c>
      <c r="L14" s="205">
        <f>L13-(L13*'Table 3'!$B$22)</f>
        <v>1394.6329744322845</v>
      </c>
      <c r="M14" s="36">
        <f t="shared" si="4"/>
        <v>21.282245921008503</v>
      </c>
      <c r="N14" s="36">
        <f t="shared" si="5"/>
        <v>21.21791783524758</v>
      </c>
      <c r="O14" s="196">
        <f>1/(1+'Table 5'!$B$5)^B14</f>
        <v>0.6037774967773711</v>
      </c>
      <c r="P14" s="36">
        <f t="shared" si="6"/>
        <v>12.849741167986931</v>
      </c>
      <c r="Q14" s="36">
        <f t="shared" si="7"/>
        <v>12.810901317393721</v>
      </c>
      <c r="R14" s="195">
        <f t="shared" si="8"/>
        <v>0.015260105211316906</v>
      </c>
      <c r="S14" s="112">
        <f t="shared" si="9"/>
        <v>0.01521397975254729</v>
      </c>
    </row>
    <row r="15" spans="1:19" ht="15">
      <c r="A15" s="32">
        <v>2023</v>
      </c>
      <c r="B15" s="32">
        <v>9</v>
      </c>
      <c r="C15" s="197">
        <f>C14+(C14*'Table 5'!$F$24)</f>
        <v>401.21608786337</v>
      </c>
      <c r="D15" s="109">
        <f>D14+(D14*'Table 5'!$F$26)</f>
        <v>92.06274058607859</v>
      </c>
      <c r="E15" s="108">
        <f t="shared" si="0"/>
        <v>36.937052615926746</v>
      </c>
      <c r="F15" s="108">
        <f t="shared" si="1"/>
        <v>20.938654743008453</v>
      </c>
      <c r="G15" s="108">
        <f t="shared" si="2"/>
        <v>45.749579270602354</v>
      </c>
      <c r="H15" s="109">
        <f t="shared" si="10"/>
        <v>91.0239765282354</v>
      </c>
      <c r="I15" s="113">
        <f t="shared" si="11"/>
        <v>36.52028376442582</v>
      </c>
      <c r="J15" s="113">
        <f t="shared" si="12"/>
        <v>20.702399317326346</v>
      </c>
      <c r="K15" s="113">
        <f t="shared" si="3"/>
        <v>43.81238461742034</v>
      </c>
      <c r="L15" s="205">
        <f>L14-(L14*'Table 3'!$B$22)</f>
        <v>1387.659809560123</v>
      </c>
      <c r="M15" s="36">
        <f t="shared" si="4"/>
        <v>21.042113680840686</v>
      </c>
      <c r="N15" s="36">
        <f t="shared" si="5"/>
        <v>21.11182824607134</v>
      </c>
      <c r="O15" s="196">
        <f>1/(1+'Table 5'!$B$5)^B15</f>
        <v>0.5668739994154269</v>
      </c>
      <c r="P15" s="36">
        <f t="shared" si="6"/>
        <v>11.92822713841223</v>
      </c>
      <c r="Q15" s="36">
        <f t="shared" si="7"/>
        <v>11.967746512822039</v>
      </c>
      <c r="R15" s="195">
        <f t="shared" si="8"/>
        <v>0.015163740807273842</v>
      </c>
      <c r="S15" s="112">
        <f t="shared" si="9"/>
        <v>0.01521397975254729</v>
      </c>
    </row>
    <row r="16" spans="1:19" ht="15">
      <c r="A16" s="32">
        <v>2024</v>
      </c>
      <c r="B16" s="32">
        <v>10</v>
      </c>
      <c r="C16" s="197">
        <f>C15+(C15*'Table 5'!$F$24)</f>
        <v>409.24040962063737</v>
      </c>
      <c r="D16" s="109">
        <f>D15+(D15*'Table 5'!$F$26)</f>
        <v>93.11335900152098</v>
      </c>
      <c r="E16" s="108">
        <f t="shared" si="0"/>
        <v>38.1057491789359</v>
      </c>
      <c r="F16" s="108">
        <f t="shared" si="1"/>
        <v>20.280873568476686</v>
      </c>
      <c r="G16" s="108">
        <f t="shared" si="2"/>
        <v>45.749579270602354</v>
      </c>
      <c r="H16" s="109">
        <f t="shared" si="10"/>
        <v>92.06274058607859</v>
      </c>
      <c r="I16" s="113">
        <f t="shared" si="11"/>
        <v>37.67579366824528</v>
      </c>
      <c r="J16" s="113">
        <f t="shared" si="12"/>
        <v>20.052040031798533</v>
      </c>
      <c r="K16" s="113">
        <f t="shared" si="3"/>
        <v>43.81238461742034</v>
      </c>
      <c r="L16" s="205">
        <f>L15-(L15*'Table 3'!$B$22)</f>
        <v>1380.7215105123223</v>
      </c>
      <c r="M16" s="36">
        <f t="shared" si="4"/>
        <v>20.80469090531218</v>
      </c>
      <c r="N16" s="36">
        <f t="shared" si="5"/>
        <v>21.00626910484098</v>
      </c>
      <c r="O16" s="196">
        <f>1/(1+'Table 5'!$B$5)^B16</f>
        <v>0.5322260815091794</v>
      </c>
      <c r="P16" s="36">
        <f t="shared" si="6"/>
        <v>11.072799117543964</v>
      </c>
      <c r="Q16" s="36">
        <f t="shared" si="7"/>
        <v>11.180084292796852</v>
      </c>
      <c r="R16" s="195">
        <f t="shared" si="8"/>
        <v>0.015067984924485255</v>
      </c>
      <c r="S16" s="112">
        <f t="shared" si="9"/>
        <v>0.01521397975254729</v>
      </c>
    </row>
    <row r="17" spans="1:19" ht="15">
      <c r="A17" s="32">
        <v>2025</v>
      </c>
      <c r="B17" s="32">
        <v>11</v>
      </c>
      <c r="C17" s="197">
        <f>C16+(C16*'Table 5'!$F$24)</f>
        <v>417.4252178130501</v>
      </c>
      <c r="D17" s="109">
        <f>D16+(D16*'Table 5'!$F$26)</f>
        <v>94.17596705628803</v>
      </c>
      <c r="E17" s="108">
        <f t="shared" si="0"/>
        <v>39.31142356122566</v>
      </c>
      <c r="F17" s="108">
        <f t="shared" si="1"/>
        <v>19.643756380188492</v>
      </c>
      <c r="G17" s="108">
        <f t="shared" si="2"/>
        <v>45.749579270602354</v>
      </c>
      <c r="H17" s="109">
        <f t="shared" si="10"/>
        <v>93.11335900152098</v>
      </c>
      <c r="I17" s="113">
        <f t="shared" si="11"/>
        <v>38.86786416251462</v>
      </c>
      <c r="J17" s="113">
        <f t="shared" si="12"/>
        <v>19.422111576233423</v>
      </c>
      <c r="K17" s="113">
        <f t="shared" si="3"/>
        <v>43.81238461742034</v>
      </c>
      <c r="L17" s="205">
        <f>L16-(L16*'Table 3'!$B$22)</f>
        <v>1373.8179029597607</v>
      </c>
      <c r="M17" s="36">
        <f t="shared" si="4"/>
        <v>20.569947022940255</v>
      </c>
      <c r="N17" s="36">
        <f t="shared" si="5"/>
        <v>20.90123775931678</v>
      </c>
      <c r="O17" s="196">
        <f>1/(1+'Table 5'!$B$5)^B17</f>
        <v>0.49969587973822116</v>
      </c>
      <c r="P17" s="36">
        <f t="shared" si="6"/>
        <v>10.278717773796734</v>
      </c>
      <c r="Q17" s="36">
        <f t="shared" si="7"/>
        <v>10.444262389759524</v>
      </c>
      <c r="R17" s="195">
        <f t="shared" si="8"/>
        <v>0.014972833720265437</v>
      </c>
      <c r="S17" s="112">
        <f t="shared" si="9"/>
        <v>0.01521397975254729</v>
      </c>
    </row>
    <row r="18" spans="1:19" ht="15">
      <c r="A18" s="32">
        <v>2026</v>
      </c>
      <c r="B18" s="32">
        <v>12</v>
      </c>
      <c r="C18" s="197">
        <f>C17+(C17*'Table 5'!$F$24)</f>
        <v>425.7737221693111</v>
      </c>
      <c r="D18" s="109">
        <f>D17+(D17*'Table 5'!$F$26)</f>
        <v>95.25070157593792</v>
      </c>
      <c r="E18" s="108">
        <f t="shared" si="0"/>
        <v>40.55524574922536</v>
      </c>
      <c r="F18" s="108">
        <f t="shared" si="1"/>
        <v>19.02665402559283</v>
      </c>
      <c r="G18" s="108">
        <f t="shared" si="2"/>
        <v>45.749579270602354</v>
      </c>
      <c r="H18" s="109">
        <f t="shared" si="10"/>
        <v>94.17596705628803</v>
      </c>
      <c r="I18" s="113">
        <f t="shared" si="11"/>
        <v>40.09765203245017</v>
      </c>
      <c r="J18" s="113">
        <f t="shared" si="12"/>
        <v>18.81197212261033</v>
      </c>
      <c r="K18" s="113">
        <f t="shared" si="3"/>
        <v>43.81238461742034</v>
      </c>
      <c r="L18" s="205">
        <f>L17-(L17*'Table 3'!$B$22)</f>
        <v>1366.9488134449618</v>
      </c>
      <c r="M18" s="36">
        <f t="shared" si="4"/>
        <v>20.337851807186922</v>
      </c>
      <c r="N18" s="36">
        <f t="shared" si="5"/>
        <v>20.796731570520194</v>
      </c>
      <c r="O18" s="196">
        <f>1/(1+'Table 5'!$B$5)^B18</f>
        <v>0.46915395712911584</v>
      </c>
      <c r="P18" s="36">
        <f t="shared" si="6"/>
        <v>9.541583654847285</v>
      </c>
      <c r="Q18" s="36">
        <f t="shared" si="7"/>
        <v>9.756868911661561</v>
      </c>
      <c r="R18" s="195">
        <f t="shared" si="8"/>
        <v>0.014878283376194464</v>
      </c>
      <c r="S18" s="112">
        <f t="shared" si="9"/>
        <v>0.01521397975254729</v>
      </c>
    </row>
    <row r="19" spans="1:19" ht="15">
      <c r="A19" s="32">
        <v>2027</v>
      </c>
      <c r="B19" s="32">
        <v>13</v>
      </c>
      <c r="C19" s="197">
        <f>C18+(C18*'Table 5'!$F$24)</f>
        <v>434.2891966126973</v>
      </c>
      <c r="D19" s="109">
        <f>D18+(D18*'Table 5'!$F$26)</f>
        <v>96.33770094747977</v>
      </c>
      <c r="E19" s="108">
        <f t="shared" si="0"/>
        <v>41.83842274799528</v>
      </c>
      <c r="F19" s="108">
        <f t="shared" si="1"/>
        <v>18.428937745059436</v>
      </c>
      <c r="G19" s="108">
        <f t="shared" si="2"/>
        <v>45.749579270602354</v>
      </c>
      <c r="H19" s="109">
        <f t="shared" si="10"/>
        <v>95.25070157593792</v>
      </c>
      <c r="I19" s="113">
        <f t="shared" si="11"/>
        <v>41.36635066420986</v>
      </c>
      <c r="J19" s="113">
        <f t="shared" si="12"/>
        <v>18.22100000573156</v>
      </c>
      <c r="K19" s="113">
        <f t="shared" si="3"/>
        <v>43.81238461742034</v>
      </c>
      <c r="L19" s="205">
        <f>L18-(L18*'Table 3'!$B$22)</f>
        <v>1360.114069377737</v>
      </c>
      <c r="M19" s="36">
        <f t="shared" si="4"/>
        <v>20.10837537256684</v>
      </c>
      <c r="N19" s="36">
        <f t="shared" si="5"/>
        <v>20.692747912667592</v>
      </c>
      <c r="O19" s="196">
        <f>1/(1+'Table 5'!$B$5)^B19</f>
        <v>0.4404787880284629</v>
      </c>
      <c r="P19" s="36">
        <f t="shared" si="6"/>
        <v>8.857312813329633</v>
      </c>
      <c r="Q19" s="36">
        <f t="shared" si="7"/>
        <v>9.114716521550326</v>
      </c>
      <c r="R19" s="195">
        <f t="shared" si="8"/>
        <v>0.014784330097964931</v>
      </c>
      <c r="S19" s="112">
        <f t="shared" si="9"/>
        <v>0.01521397975254729</v>
      </c>
    </row>
    <row r="20" spans="1:19" ht="15">
      <c r="A20" s="32">
        <v>2028</v>
      </c>
      <c r="B20" s="32">
        <v>14</v>
      </c>
      <c r="C20" s="197">
        <f>C19+(C19*'Table 5'!$F$24)</f>
        <v>442.9749805449513</v>
      </c>
      <c r="D20" s="109">
        <f>D19+(D19*'Table 5'!$F$26)</f>
        <v>97.43710513719286</v>
      </c>
      <c r="E20" s="108">
        <f t="shared" si="0"/>
        <v>43.16219975250438</v>
      </c>
      <c r="F20" s="108">
        <f t="shared" si="1"/>
        <v>17.849998531241713</v>
      </c>
      <c r="G20" s="108">
        <f t="shared" si="2"/>
        <v>45.749579270602354</v>
      </c>
      <c r="H20" s="109">
        <f t="shared" si="10"/>
        <v>96.33770094747977</v>
      </c>
      <c r="I20" s="113">
        <f t="shared" si="11"/>
        <v>42.67519120295518</v>
      </c>
      <c r="J20" s="113">
        <f t="shared" si="12"/>
        <v>17.648593089813748</v>
      </c>
      <c r="K20" s="113">
        <f t="shared" si="3"/>
        <v>43.81238461742034</v>
      </c>
      <c r="L20" s="205">
        <f>L19-(L19*'Table 3'!$B$22)</f>
        <v>1353.3134990308483</v>
      </c>
      <c r="M20" s="36">
        <f t="shared" si="4"/>
        <v>19.881488170799134</v>
      </c>
      <c r="N20" s="36">
        <f t="shared" si="5"/>
        <v>20.589284173104254</v>
      </c>
      <c r="O20" s="196">
        <f>1/(1+'Table 5'!$B$5)^B20</f>
        <v>0.41355627455493654</v>
      </c>
      <c r="P20" s="36">
        <f t="shared" si="6"/>
        <v>8.22211418052373</v>
      </c>
      <c r="Q20" s="36">
        <f t="shared" si="7"/>
        <v>8.514827658381913</v>
      </c>
      <c r="R20" s="195">
        <f t="shared" si="8"/>
        <v>0.014690970115229702</v>
      </c>
      <c r="S20" s="112">
        <f t="shared" si="9"/>
        <v>0.01521397975254729</v>
      </c>
    </row>
    <row r="21" spans="1:19" ht="15">
      <c r="A21" s="32">
        <v>2029</v>
      </c>
      <c r="B21" s="32">
        <v>15</v>
      </c>
      <c r="C21" s="197">
        <f>C20+(C20*'Table 5'!$F$24)</f>
        <v>451.8344801558503</v>
      </c>
      <c r="D21" s="109">
        <f>D20+(D20*'Table 5'!$F$26)</f>
        <v>98.54905570864925</v>
      </c>
      <c r="E21" s="108">
        <f t="shared" si="0"/>
        <v>44.52786135596747</v>
      </c>
      <c r="F21" s="108">
        <f t="shared" si="1"/>
        <v>17.28924650856505</v>
      </c>
      <c r="G21" s="108">
        <f t="shared" si="2"/>
        <v>45.749579270602354</v>
      </c>
      <c r="H21" s="109">
        <f t="shared" si="10"/>
        <v>97.43710513719286</v>
      </c>
      <c r="I21" s="113">
        <f t="shared" si="11"/>
        <v>44.02544374755447</v>
      </c>
      <c r="J21" s="113">
        <f t="shared" si="12"/>
        <v>17.09416815497752</v>
      </c>
      <c r="K21" s="113">
        <f t="shared" si="3"/>
        <v>43.81238461742034</v>
      </c>
      <c r="L21" s="205">
        <f>L20-(L20*'Table 3'!$B$22)</f>
        <v>1346.546931535694</v>
      </c>
      <c r="M21" s="36">
        <f t="shared" si="4"/>
        <v>19.657160987002655</v>
      </c>
      <c r="N21" s="36">
        <f t="shared" si="5"/>
        <v>20.486337752238732</v>
      </c>
      <c r="O21" s="196">
        <f>1/(1+'Table 5'!$B$5)^B21</f>
        <v>0.3882792926062686</v>
      </c>
      <c r="P21" s="36">
        <f t="shared" si="6"/>
        <v>7.632468562680931</v>
      </c>
      <c r="Q21" s="36">
        <f t="shared" si="7"/>
        <v>7.954420730532349</v>
      </c>
      <c r="R21" s="195">
        <f t="shared" si="8"/>
        <v>0.014598199681450602</v>
      </c>
      <c r="S21" s="112">
        <f t="shared" si="9"/>
        <v>0.01521397975254729</v>
      </c>
    </row>
    <row r="22" spans="1:19" ht="15">
      <c r="A22" s="32">
        <v>2030</v>
      </c>
      <c r="B22" s="32">
        <v>16</v>
      </c>
      <c r="C22" s="197">
        <f>C21+(C21*'Table 5'!$F$24)</f>
        <v>460.8711697589673</v>
      </c>
      <c r="D22" s="109">
        <f>D21+(D21*'Table 5'!$F$26)</f>
        <v>99.67369584094205</v>
      </c>
      <c r="E22" s="108">
        <f t="shared" si="0"/>
        <v>45.936732796414475</v>
      </c>
      <c r="F22" s="108">
        <f t="shared" si="1"/>
        <v>16.746110332208232</v>
      </c>
      <c r="G22" s="108">
        <f t="shared" si="2"/>
        <v>45.749579270602354</v>
      </c>
      <c r="H22" s="109">
        <f t="shared" si="10"/>
        <v>98.54905570864925</v>
      </c>
      <c r="I22" s="113">
        <f t="shared" si="11"/>
        <v>45.41841858308681</v>
      </c>
      <c r="J22" s="113">
        <f t="shared" si="12"/>
        <v>16.557160303010374</v>
      </c>
      <c r="K22" s="113">
        <f t="shared" si="3"/>
        <v>43.81238461742034</v>
      </c>
      <c r="L22" s="205">
        <f>L21-(L21*'Table 3'!$B$22)</f>
        <v>1339.8141968780155</v>
      </c>
      <c r="M22" s="36">
        <f t="shared" si="4"/>
        <v>19.43536493593416</v>
      </c>
      <c r="N22" s="36">
        <f t="shared" si="5"/>
        <v>20.38390606347754</v>
      </c>
      <c r="O22" s="196">
        <f>1/(1+'Table 5'!$B$5)^B22</f>
        <v>0.36454726561474843</v>
      </c>
      <c r="P22" s="36">
        <f t="shared" si="6"/>
        <v>7.085109143619558</v>
      </c>
      <c r="Q22" s="36">
        <f t="shared" si="7"/>
        <v>7.430897217988628</v>
      </c>
      <c r="R22" s="195">
        <f t="shared" si="8"/>
        <v>0.014506015073748072</v>
      </c>
      <c r="S22" s="112">
        <f t="shared" si="9"/>
        <v>0.01521397975254729</v>
      </c>
    </row>
    <row r="23" spans="1:19" ht="15">
      <c r="A23" s="32">
        <v>2031</v>
      </c>
      <c r="B23" s="32">
        <v>17</v>
      </c>
      <c r="C23" s="197">
        <f>C22+(C22*'Table 5'!$F$24)</f>
        <v>470.0885931541467</v>
      </c>
      <c r="D23" s="109">
        <f>D22+(D22*'Table 5'!$F$26)</f>
        <v>100.81117034712172</v>
      </c>
      <c r="E23" s="108">
        <f t="shared" si="0"/>
        <v>47.39018124270148</v>
      </c>
      <c r="F23" s="108">
        <f t="shared" si="1"/>
        <v>16.220036605965795</v>
      </c>
      <c r="G23" s="108">
        <f t="shared" si="2"/>
        <v>45.749579270602354</v>
      </c>
      <c r="H23" s="109">
        <f t="shared" si="10"/>
        <v>99.67369584094205</v>
      </c>
      <c r="I23" s="113">
        <f t="shared" si="11"/>
        <v>46.85546745234277</v>
      </c>
      <c r="J23" s="113">
        <f t="shared" si="12"/>
        <v>16.037022381797392</v>
      </c>
      <c r="K23" s="113">
        <f t="shared" si="3"/>
        <v>43.81238461742034</v>
      </c>
      <c r="L23" s="205">
        <f>L22-(L22*'Table 3'!$B$22)</f>
        <v>1333.1151258936254</v>
      </c>
      <c r="M23" s="36">
        <f t="shared" si="4"/>
        <v>19.216071458268917</v>
      </c>
      <c r="N23" s="36">
        <f t="shared" si="5"/>
        <v>20.28198653316015</v>
      </c>
      <c r="O23" s="196">
        <f>1/(1+'Table 5'!$B$5)^B23</f>
        <v>0.34226576435522343</v>
      </c>
      <c r="P23" s="36">
        <f t="shared" si="6"/>
        <v>6.577003385569004</v>
      </c>
      <c r="Q23" s="36">
        <f t="shared" si="7"/>
        <v>6.9418296234144075</v>
      </c>
      <c r="R23" s="195">
        <f t="shared" si="8"/>
        <v>0.014414412592751757</v>
      </c>
      <c r="S23" s="112">
        <f t="shared" si="9"/>
        <v>0.01521397975254729</v>
      </c>
    </row>
    <row r="24" spans="1:19" ht="15">
      <c r="A24" s="32">
        <v>2032</v>
      </c>
      <c r="B24" s="32">
        <v>18</v>
      </c>
      <c r="C24" s="197">
        <f>C23+(C23*'Table 5'!$F$24)</f>
        <v>479.49036501722964</v>
      </c>
      <c r="D24" s="109">
        <f>D23+(D23*'Table 5'!$F$26)</f>
        <v>101.96162569284279</v>
      </c>
      <c r="E24" s="108">
        <f t="shared" si="0"/>
        <v>48.88961712121133</v>
      </c>
      <c r="F24" s="108">
        <f t="shared" si="1"/>
        <v>15.71048931839791</v>
      </c>
      <c r="G24" s="108">
        <f t="shared" si="2"/>
        <v>45.749579270602354</v>
      </c>
      <c r="H24" s="109">
        <f t="shared" si="10"/>
        <v>100.81117034712172</v>
      </c>
      <c r="I24" s="113">
        <f t="shared" si="11"/>
        <v>48.337984867555505</v>
      </c>
      <c r="J24" s="113">
        <f t="shared" si="12"/>
        <v>15.533224427833169</v>
      </c>
      <c r="K24" s="113">
        <f t="shared" si="3"/>
        <v>43.81238461742034</v>
      </c>
      <c r="L24" s="205">
        <f>L23-(L23*'Table 3'!$B$22)</f>
        <v>1326.4495502641573</v>
      </c>
      <c r="M24" s="36">
        <f t="shared" si="4"/>
        <v>18.999252316923318</v>
      </c>
      <c r="N24" s="36">
        <f t="shared" si="5"/>
        <v>20.180576600494348</v>
      </c>
      <c r="O24" s="196">
        <f>1/(1+'Table 5'!$B$5)^B24</f>
        <v>0.3213461312132414</v>
      </c>
      <c r="P24" s="36">
        <f t="shared" si="6"/>
        <v>6.105336227987522</v>
      </c>
      <c r="Q24" s="36">
        <f t="shared" si="7"/>
        <v>6.484950216221326</v>
      </c>
      <c r="R24" s="195">
        <f t="shared" si="8"/>
        <v>0.014323388562452067</v>
      </c>
      <c r="S24" s="112">
        <f t="shared" si="9"/>
        <v>0.01521397975254729</v>
      </c>
    </row>
    <row r="25" spans="1:19" ht="15">
      <c r="A25" s="32">
        <v>2033</v>
      </c>
      <c r="B25" s="32">
        <v>19</v>
      </c>
      <c r="C25" s="197">
        <f>C24+(C24*'Table 5'!$F$24)</f>
        <v>489.08017231757424</v>
      </c>
      <c r="D25" s="109">
        <f>D24+(D24*'Table 5'!$F$26)</f>
        <v>103.12521001522329</v>
      </c>
      <c r="E25" s="108">
        <f t="shared" si="0"/>
        <v>50.436495484531434</v>
      </c>
      <c r="F25" s="108">
        <f t="shared" si="1"/>
        <v>15.21694929669355</v>
      </c>
      <c r="G25" s="108">
        <f t="shared" si="2"/>
        <v>45.749579270602354</v>
      </c>
      <c r="H25" s="109">
        <f t="shared" si="10"/>
        <v>101.96162569284279</v>
      </c>
      <c r="I25" s="113">
        <f t="shared" si="11"/>
        <v>49.86740946363555</v>
      </c>
      <c r="J25" s="113">
        <f t="shared" si="12"/>
        <v>15.045253126247179</v>
      </c>
      <c r="K25" s="113">
        <f t="shared" si="3"/>
        <v>43.81238461742034</v>
      </c>
      <c r="L25" s="205">
        <f>L24-(L24*'Table 3'!$B$22)</f>
        <v>1319.8173025128365</v>
      </c>
      <c r="M25" s="36">
        <f t="shared" si="4"/>
        <v>18.78487959341895</v>
      </c>
      <c r="N25" s="36">
        <f t="shared" si="5"/>
        <v>20.079673717491875</v>
      </c>
      <c r="O25" s="196">
        <f>1/(1+'Table 5'!$B$5)^B25</f>
        <v>0.3017051274183095</v>
      </c>
      <c r="P25" s="36">
        <f t="shared" si="6"/>
        <v>5.667494491270067</v>
      </c>
      <c r="Q25" s="36">
        <f t="shared" si="7"/>
        <v>6.058140517453967</v>
      </c>
      <c r="R25" s="195">
        <f t="shared" si="8"/>
        <v>0.014232939330052652</v>
      </c>
      <c r="S25" s="112">
        <f t="shared" si="9"/>
        <v>0.01521397975254729</v>
      </c>
    </row>
    <row r="26" spans="1:19" ht="15">
      <c r="A26" s="32">
        <v>2034</v>
      </c>
      <c r="B26" s="32">
        <v>20</v>
      </c>
      <c r="C26" s="197">
        <f>C25+(C25*'Table 5'!$F$24)</f>
        <v>498.8617757639257</v>
      </c>
      <c r="D26" s="109">
        <f>D25+(D25*'Table 5'!$F$26)</f>
        <v>104.30207314191954</v>
      </c>
      <c r="E26" s="108">
        <f t="shared" si="0"/>
        <v>52.032317423436844</v>
      </c>
      <c r="F26" s="108">
        <f t="shared" si="1"/>
        <v>14.7389136776903</v>
      </c>
      <c r="G26" s="108">
        <f t="shared" si="2"/>
        <v>45.749579270602354</v>
      </c>
      <c r="H26" s="109">
        <f t="shared" si="10"/>
        <v>103.12521001522329</v>
      </c>
      <c r="I26" s="113">
        <f t="shared" si="11"/>
        <v>51.445225394222064</v>
      </c>
      <c r="J26" s="113">
        <f t="shared" si="12"/>
        <v>14.572611287792151</v>
      </c>
      <c r="K26" s="113">
        <f t="shared" si="3"/>
        <v>43.81238461742034</v>
      </c>
      <c r="L26" s="205">
        <f>L25-(L25*'Table 3'!$B$22)</f>
        <v>1313.2182160002724</v>
      </c>
      <c r="M26" s="36">
        <f t="shared" si="4"/>
        <v>18.5729256842877</v>
      </c>
      <c r="N26" s="36">
        <f t="shared" si="5"/>
        <v>19.97927534890442</v>
      </c>
      <c r="O26" s="196">
        <f>1/(1+'Table 5'!$B$5)^B26</f>
        <v>0.2832646018386156</v>
      </c>
      <c r="P26" s="36">
        <f t="shared" si="6"/>
        <v>5.261052398937953</v>
      </c>
      <c r="Q26" s="36">
        <f t="shared" si="7"/>
        <v>5.659421476731478</v>
      </c>
      <c r="R26" s="195">
        <f t="shared" si="8"/>
        <v>0.014143061265823811</v>
      </c>
      <c r="S26" s="112">
        <f t="shared" si="9"/>
        <v>0.01521397975254729</v>
      </c>
    </row>
    <row r="27" spans="1:19" ht="15">
      <c r="A27" s="32">
        <v>2035</v>
      </c>
      <c r="B27" s="32">
        <v>21</v>
      </c>
      <c r="C27" s="197">
        <f>C26+(C26*'Table 5'!$F$24)</f>
        <v>508.8390112792042</v>
      </c>
      <c r="D27" s="109">
        <f>D26+(D26*'Table 5'!$F$26)</f>
        <v>105.49236661041846</v>
      </c>
      <c r="E27" s="108">
        <f t="shared" si="0"/>
        <v>53.67863152354866</v>
      </c>
      <c r="F27" s="108">
        <f t="shared" si="1"/>
        <v>14.275895395511945</v>
      </c>
      <c r="G27" s="108">
        <f t="shared" si="2"/>
        <v>45.749579270602354</v>
      </c>
      <c r="H27" s="109">
        <f t="shared" si="10"/>
        <v>104.30207314191954</v>
      </c>
      <c r="I27" s="113">
        <f t="shared" si="11"/>
        <v>53.07296377190557</v>
      </c>
      <c r="J27" s="113">
        <f t="shared" si="12"/>
        <v>14.114817342262794</v>
      </c>
      <c r="K27" s="113">
        <f t="shared" si="3"/>
        <v>43.81238461742034</v>
      </c>
      <c r="L27" s="205">
        <f>L26-(L26*'Table 3'!$B$22)</f>
        <v>1306.652124920271</v>
      </c>
      <c r="M27" s="36">
        <f t="shared" si="4"/>
        <v>18.363363297517427</v>
      </c>
      <c r="N27" s="36">
        <f t="shared" si="5"/>
        <v>19.8793789721599</v>
      </c>
      <c r="O27" s="196">
        <f>1/(1+'Table 5'!$B$5)^B27</f>
        <v>0.2659511800193556</v>
      </c>
      <c r="P27" s="36">
        <f t="shared" si="6"/>
        <v>4.883758138098885</v>
      </c>
      <c r="Q27" s="36">
        <f t="shared" si="7"/>
        <v>5.286944295697889</v>
      </c>
      <c r="R27" s="195">
        <f t="shared" si="8"/>
        <v>0.014053750762956833</v>
      </c>
      <c r="S27" s="112">
        <f t="shared" si="9"/>
        <v>0.01521397975254729</v>
      </c>
    </row>
    <row r="28" spans="1:19" ht="15">
      <c r="A28" s="32">
        <v>2036</v>
      </c>
      <c r="B28" s="32">
        <v>22</v>
      </c>
      <c r="C28" s="197">
        <f>C27+(C27*'Table 5'!$F$24)</f>
        <v>519.0157915047884</v>
      </c>
      <c r="D28" s="109">
        <f>D27+(D27*'Table 5'!$F$26)</f>
        <v>106.6962436875502</v>
      </c>
      <c r="E28" s="108">
        <f t="shared" si="0"/>
        <v>55.37703536808164</v>
      </c>
      <c r="F28" s="108">
        <f t="shared" si="1"/>
        <v>13.82742268530176</v>
      </c>
      <c r="G28" s="108">
        <f t="shared" si="2"/>
        <v>45.749579270602354</v>
      </c>
      <c r="H28" s="109">
        <f t="shared" si="10"/>
        <v>105.49236661041846</v>
      </c>
      <c r="I28" s="113">
        <f t="shared" si="11"/>
        <v>54.752204154019644</v>
      </c>
      <c r="J28" s="113">
        <f t="shared" si="12"/>
        <v>13.671404847828551</v>
      </c>
      <c r="K28" s="113">
        <f t="shared" si="3"/>
        <v>43.81238461742034</v>
      </c>
      <c r="L28" s="205">
        <f>L27-(L27*'Table 3'!$B$22)</f>
        <v>1300.1188642956697</v>
      </c>
      <c r="M28" s="36">
        <f t="shared" si="4"/>
        <v>18.156165449037754</v>
      </c>
      <c r="N28" s="36">
        <f t="shared" si="5"/>
        <v>19.7799820772991</v>
      </c>
      <c r="O28" s="196">
        <f>1/(1+'Table 5'!$B$5)^B28</f>
        <v>0.24969597222735485</v>
      </c>
      <c r="P28" s="36">
        <f t="shared" si="6"/>
        <v>4.533521383718191</v>
      </c>
      <c r="Q28" s="36">
        <f t="shared" si="7"/>
        <v>4.938981855430852</v>
      </c>
      <c r="R28" s="195">
        <f t="shared" si="8"/>
        <v>0.013965004237419268</v>
      </c>
      <c r="S28" s="112">
        <f t="shared" si="9"/>
        <v>0.01521397975254729</v>
      </c>
    </row>
    <row r="29" spans="1:19" ht="15">
      <c r="A29" s="32">
        <v>2037</v>
      </c>
      <c r="B29" s="32">
        <v>23</v>
      </c>
      <c r="C29" s="197">
        <f>C28+(C28*'Table 5'!$F$24)</f>
        <v>529.3961073348842</v>
      </c>
      <c r="D29" s="109">
        <f>D28+(D28*'Table 5'!$F$26)</f>
        <v>107.91385938922332</v>
      </c>
      <c r="E29" s="108">
        <f t="shared" si="0"/>
        <v>57.12917708813887</v>
      </c>
      <c r="F29" s="108">
        <f t="shared" si="1"/>
        <v>13.393038602545829</v>
      </c>
      <c r="G29" s="108">
        <f t="shared" si="2"/>
        <v>45.749579270602354</v>
      </c>
      <c r="H29" s="109">
        <f t="shared" si="10"/>
        <v>106.6962436875502</v>
      </c>
      <c r="I29" s="113">
        <f t="shared" si="11"/>
        <v>56.48457607544328</v>
      </c>
      <c r="J29" s="113">
        <f t="shared" si="12"/>
        <v>13.241922015780489</v>
      </c>
      <c r="K29" s="113">
        <f t="shared" si="3"/>
        <v>43.81238461742034</v>
      </c>
      <c r="L29" s="205">
        <f>L28-(L28*'Table 3'!$B$22)</f>
        <v>1293.6182699741914</v>
      </c>
      <c r="M29" s="36">
        <f t="shared" si="4"/>
        <v>17.951305459245457</v>
      </c>
      <c r="N29" s="36">
        <f t="shared" si="5"/>
        <v>19.681082166912603</v>
      </c>
      <c r="O29" s="196">
        <f>1/(1+'Table 5'!$B$5)^B29</f>
        <v>0.23443429934030127</v>
      </c>
      <c r="P29" s="36">
        <f t="shared" si="6"/>
        <v>4.208401717581934</v>
      </c>
      <c r="Q29" s="36">
        <f t="shared" si="7"/>
        <v>4.613920708059054</v>
      </c>
      <c r="R29" s="205">
        <f t="shared" si="8"/>
        <v>0.013876818127811072</v>
      </c>
      <c r="S29" s="112">
        <f t="shared" si="9"/>
        <v>0.01521397975254729</v>
      </c>
    </row>
    <row r="30" spans="1:19" ht="15">
      <c r="A30" s="32">
        <v>2038</v>
      </c>
      <c r="B30" s="32">
        <v>24</v>
      </c>
      <c r="C30" s="197">
        <f>C29+(C29*'Table 5'!$F$24)</f>
        <v>539.9840294815818</v>
      </c>
      <c r="D30" s="109">
        <f>D29+(D29*'Table 5'!$F$26)</f>
        <v>109.1453705003853</v>
      </c>
      <c r="E30" s="108">
        <f t="shared" si="0"/>
        <v>58.93675696205823</v>
      </c>
      <c r="F30" s="108">
        <f t="shared" si="1"/>
        <v>12.972300557496707</v>
      </c>
      <c r="G30" s="108">
        <f t="shared" si="2"/>
        <v>45.749579270602354</v>
      </c>
      <c r="H30" s="109">
        <f t="shared" si="10"/>
        <v>107.91385938922332</v>
      </c>
      <c r="I30" s="113">
        <f t="shared" si="11"/>
        <v>58.27176062990164</v>
      </c>
      <c r="J30" s="113">
        <f t="shared" si="12"/>
        <v>12.825931250208189</v>
      </c>
      <c r="K30" s="113">
        <f t="shared" si="3"/>
        <v>43.81238461742034</v>
      </c>
      <c r="L30" s="205">
        <f>L29-(L29*'Table 3'!$B$22)</f>
        <v>1287.1501786243205</v>
      </c>
      <c r="M30" s="36">
        <f t="shared" si="4"/>
        <v>17.74875694956913</v>
      </c>
      <c r="N30" s="36">
        <f t="shared" si="5"/>
        <v>19.58267675607804</v>
      </c>
      <c r="O30" s="196">
        <f>1/(1+'Table 5'!$B$5)^B30</f>
        <v>0.2201054354899082</v>
      </c>
      <c r="P30" s="36">
        <f t="shared" si="6"/>
        <v>3.9065978777894483</v>
      </c>
      <c r="Q30" s="36">
        <f t="shared" si="7"/>
        <v>4.31025359545466</v>
      </c>
      <c r="R30" s="195">
        <f t="shared" si="8"/>
        <v>0.013789188895221719</v>
      </c>
      <c r="S30" s="112">
        <f t="shared" si="9"/>
        <v>0.01521397975254729</v>
      </c>
    </row>
    <row r="31" spans="1:19" ht="15">
      <c r="A31" s="32">
        <v>2039</v>
      </c>
      <c r="B31" s="195">
        <v>25</v>
      </c>
      <c r="C31" s="197">
        <f>C30+(C30*'Table 5'!$F$24)</f>
        <v>550.7837100712135</v>
      </c>
      <c r="D31" s="36"/>
      <c r="E31" s="36"/>
      <c r="F31" s="36"/>
      <c r="G31" s="36"/>
      <c r="H31" s="109">
        <f t="shared" si="10"/>
        <v>109.1453705003853</v>
      </c>
      <c r="I31" s="113">
        <f t="shared" si="11"/>
        <v>60.115492101299395</v>
      </c>
      <c r="J31" s="113">
        <f t="shared" si="12"/>
        <v>12.423008702137492</v>
      </c>
      <c r="K31" s="113"/>
      <c r="L31" s="36"/>
      <c r="M31" s="36"/>
      <c r="N31" s="36"/>
      <c r="O31" s="196">
        <f>1/(1+'Table 5'!$B$5)^B31</f>
        <v>0.20665236643499038</v>
      </c>
      <c r="P31" s="36"/>
      <c r="Q31" s="36"/>
      <c r="R31" s="36"/>
      <c r="S31" s="6"/>
    </row>
    <row r="32" ht="15" thickBot="1"/>
    <row r="33" spans="5:17" ht="15" thickBot="1">
      <c r="E33" t="s">
        <v>185</v>
      </c>
      <c r="F33" s="110">
        <f>SUM(F6:F32)</f>
        <v>488.36651943577164</v>
      </c>
      <c r="I33" t="s">
        <v>185</v>
      </c>
      <c r="J33" s="114">
        <f>SUM(J7:J32)</f>
        <v>467.6874000793232</v>
      </c>
      <c r="M33" s="49" t="s">
        <v>187</v>
      </c>
      <c r="N33" s="83"/>
      <c r="O33" s="83"/>
      <c r="P33" s="83">
        <f>SUM(P6:P32)</f>
        <v>274.39590755849747</v>
      </c>
      <c r="Q33" s="115">
        <f>SUM(Q6:Q32)</f>
        <v>274.3959075584974</v>
      </c>
    </row>
    <row r="34" spans="5:10" ht="15" thickBot="1">
      <c r="E34" t="s">
        <v>163</v>
      </c>
      <c r="F34" s="110">
        <f>PMT(0.08,25,F33)*-1</f>
        <v>45.749579270602354</v>
      </c>
      <c r="I34" t="s">
        <v>163</v>
      </c>
      <c r="J34" s="110">
        <f>PMT(0.08,25,J33)*-1</f>
        <v>43.81238461742034</v>
      </c>
    </row>
    <row r="35" spans="6:14" ht="15" thickBot="1">
      <c r="F35" s="48"/>
      <c r="L35" s="49" t="s">
        <v>186</v>
      </c>
      <c r="M35" s="83"/>
      <c r="N35" s="90">
        <f>SUMPRODUCT(M6:M30,O6:O30)/SUMPRODUCT(L6:L30,O6:O30)</f>
        <v>0.01521397975254729</v>
      </c>
    </row>
    <row r="37" spans="4:6" ht="15">
      <c r="D37" s="38" t="s">
        <v>189</v>
      </c>
      <c r="E37" s="38"/>
      <c r="F37" s="38"/>
    </row>
    <row r="38" ht="15">
      <c r="D38" t="s">
        <v>190</v>
      </c>
    </row>
    <row r="40" spans="1:6" ht="15">
      <c r="A40" t="s">
        <v>529</v>
      </c>
      <c r="C40" s="3"/>
      <c r="D40" s="103"/>
      <c r="E40" s="103"/>
      <c r="F40" s="103"/>
    </row>
    <row r="41" spans="3:6" ht="15">
      <c r="C41" s="3"/>
      <c r="D41" s="103"/>
      <c r="E41" s="103"/>
      <c r="F41" s="103"/>
    </row>
    <row r="42" spans="1:6" ht="15">
      <c r="A42" t="s">
        <v>543</v>
      </c>
      <c r="C42" s="3"/>
      <c r="D42" s="103"/>
      <c r="E42" s="103"/>
      <c r="F42" s="103"/>
    </row>
    <row r="43" spans="1:6" ht="15">
      <c r="A43" t="s">
        <v>530</v>
      </c>
      <c r="C43" s="3"/>
      <c r="D43" s="103"/>
      <c r="E43" s="103"/>
      <c r="F43" s="103"/>
    </row>
    <row r="44" spans="1:6" ht="15">
      <c r="A44" t="s">
        <v>531</v>
      </c>
      <c r="C44" s="3"/>
      <c r="D44" s="103"/>
      <c r="E44" s="103"/>
      <c r="F44" s="103"/>
    </row>
    <row r="45" spans="3:6" ht="15">
      <c r="C45" s="3"/>
      <c r="D45" s="103"/>
      <c r="E45" s="103"/>
      <c r="F45" s="103"/>
    </row>
    <row r="46" spans="1:6" ht="15">
      <c r="A46" t="s">
        <v>544</v>
      </c>
      <c r="C46" s="3"/>
      <c r="D46" s="103"/>
      <c r="E46" s="103"/>
      <c r="F46" s="103"/>
    </row>
    <row r="47" spans="1:6" ht="15">
      <c r="A47" t="s">
        <v>532</v>
      </c>
      <c r="C47" s="3"/>
      <c r="D47" s="103"/>
      <c r="E47" s="103"/>
      <c r="F47" s="103"/>
    </row>
    <row r="48" spans="1:6" ht="15">
      <c r="A48" t="s">
        <v>533</v>
      </c>
      <c r="C48" s="3"/>
      <c r="D48" s="103"/>
      <c r="E48" s="103"/>
      <c r="F48" s="103"/>
    </row>
    <row r="49" spans="1:6" ht="15">
      <c r="A49" t="s">
        <v>534</v>
      </c>
      <c r="C49" s="3"/>
      <c r="D49" s="103"/>
      <c r="E49" s="103"/>
      <c r="F49" s="103"/>
    </row>
    <row r="50" spans="1:6" ht="15">
      <c r="A50" t="s">
        <v>535</v>
      </c>
      <c r="C50" s="3"/>
      <c r="D50" s="103"/>
      <c r="E50" s="103"/>
      <c r="F50" s="103"/>
    </row>
    <row r="51" spans="1:6" ht="15">
      <c r="A51" t="s">
        <v>536</v>
      </c>
      <c r="C51" s="3"/>
      <c r="D51" s="103"/>
      <c r="E51" s="103"/>
      <c r="F51" s="103"/>
    </row>
    <row r="52" spans="3:6" ht="15">
      <c r="C52" s="3"/>
      <c r="D52" s="103"/>
      <c r="E52" s="103"/>
      <c r="F52" s="103"/>
    </row>
    <row r="53" spans="1:6" ht="15">
      <c r="A53" t="s">
        <v>537</v>
      </c>
      <c r="C53" s="3"/>
      <c r="D53" s="103"/>
      <c r="E53" s="103"/>
      <c r="F53" s="103"/>
    </row>
    <row r="54" spans="1:6" ht="15">
      <c r="A54" t="s">
        <v>538</v>
      </c>
      <c r="C54" s="3"/>
      <c r="D54" s="103"/>
      <c r="E54" s="103"/>
      <c r="F54" s="103"/>
    </row>
    <row r="55" spans="1:6" ht="15">
      <c r="A55" t="s">
        <v>539</v>
      </c>
      <c r="C55" s="3"/>
      <c r="D55" s="103"/>
      <c r="E55" s="103"/>
      <c r="F55" s="103"/>
    </row>
    <row r="57" spans="1:4" ht="15">
      <c r="A57" t="s">
        <v>557</v>
      </c>
      <c r="C57" s="107"/>
      <c r="D57" s="107"/>
    </row>
    <row r="58" spans="1:4" ht="15">
      <c r="A58" t="s">
        <v>558</v>
      </c>
      <c r="C58" s="107"/>
      <c r="D58" s="107"/>
    </row>
    <row r="59" spans="3:4" ht="15">
      <c r="C59" s="107"/>
      <c r="D59" s="107"/>
    </row>
    <row r="60" spans="2:4" ht="15">
      <c r="B60" s="167" t="s">
        <v>559</v>
      </c>
      <c r="C60" s="166"/>
      <c r="D60" s="107"/>
    </row>
    <row r="61" spans="2:4" ht="15">
      <c r="B61" s="103" t="s">
        <v>560</v>
      </c>
      <c r="C61" s="123" t="s">
        <v>561</v>
      </c>
      <c r="D61" s="107"/>
    </row>
    <row r="62" spans="2:4" ht="15">
      <c r="B62" s="103"/>
      <c r="C62" s="123"/>
      <c r="D62" s="107"/>
    </row>
    <row r="63" spans="1:4" ht="15">
      <c r="A63" t="s">
        <v>562</v>
      </c>
      <c r="B63" s="103"/>
      <c r="C63" s="123"/>
      <c r="D63" s="107"/>
    </row>
    <row r="64" spans="1:4" ht="15">
      <c r="A64" t="s">
        <v>563</v>
      </c>
      <c r="B64" s="103"/>
      <c r="C64" s="123"/>
      <c r="D64" s="107"/>
    </row>
    <row r="65" spans="1:4" ht="15">
      <c r="A65" t="s">
        <v>564</v>
      </c>
      <c r="B65" s="103"/>
      <c r="C65" s="123"/>
      <c r="D65" s="107"/>
    </row>
    <row r="67" ht="15">
      <c r="A67" t="s">
        <v>567</v>
      </c>
    </row>
    <row r="68" ht="15">
      <c r="A68" t="s">
        <v>568</v>
      </c>
    </row>
    <row r="69" ht="15">
      <c r="A69" t="s">
        <v>569</v>
      </c>
    </row>
    <row r="71" ht="15">
      <c r="A71" t="s">
        <v>570</v>
      </c>
    </row>
    <row r="72" ht="15">
      <c r="A72" t="s">
        <v>571</v>
      </c>
    </row>
    <row r="74" ht="15">
      <c r="A74" t="s">
        <v>572</v>
      </c>
    </row>
    <row r="75" ht="15">
      <c r="A75" t="s">
        <v>573</v>
      </c>
    </row>
    <row r="76" ht="15">
      <c r="A76" t="s">
        <v>574</v>
      </c>
    </row>
    <row r="77" ht="15">
      <c r="A77" t="s">
        <v>575</v>
      </c>
    </row>
    <row r="78" ht="15">
      <c r="A78" t="s">
        <v>576</v>
      </c>
    </row>
    <row r="80" spans="1:14" ht="15">
      <c r="A80" s="254" t="s">
        <v>548</v>
      </c>
      <c r="B80" s="255"/>
      <c r="C80" s="255"/>
      <c r="D80" s="255"/>
      <c r="E80" s="255"/>
      <c r="F80" s="255"/>
      <c r="G80" s="255"/>
      <c r="H80" s="255"/>
      <c r="I80" s="255"/>
      <c r="J80" s="255"/>
      <c r="K80" s="255"/>
      <c r="L80" s="255"/>
      <c r="M80" s="255"/>
      <c r="N80" s="255"/>
    </row>
    <row r="81" spans="1:14" ht="15">
      <c r="A81" s="254" t="s">
        <v>551</v>
      </c>
      <c r="B81" s="255"/>
      <c r="C81" s="255"/>
      <c r="D81" s="255"/>
      <c r="E81" s="255"/>
      <c r="F81" s="255"/>
      <c r="G81" s="255"/>
      <c r="H81" s="255"/>
      <c r="I81" s="255"/>
      <c r="J81" s="255"/>
      <c r="K81" s="255"/>
      <c r="L81" s="255"/>
      <c r="M81" s="255"/>
      <c r="N81" s="255"/>
    </row>
    <row r="82" spans="1:14" ht="15">
      <c r="A82" s="254"/>
      <c r="B82" s="255"/>
      <c r="C82" s="255"/>
      <c r="D82" s="255"/>
      <c r="E82" s="255"/>
      <c r="F82" s="255"/>
      <c r="G82" s="255"/>
      <c r="H82" s="255"/>
      <c r="I82" s="255"/>
      <c r="J82" s="255"/>
      <c r="K82" s="255"/>
      <c r="L82" s="255"/>
      <c r="M82" s="255"/>
      <c r="N82" s="255"/>
    </row>
    <row r="83" spans="1:14" ht="15">
      <c r="A83" s="254" t="s">
        <v>549</v>
      </c>
      <c r="B83" s="255"/>
      <c r="C83" s="255"/>
      <c r="D83" s="255"/>
      <c r="E83" s="255"/>
      <c r="F83" s="255"/>
      <c r="G83" s="255"/>
      <c r="H83" s="255"/>
      <c r="I83" s="255"/>
      <c r="J83" s="255"/>
      <c r="K83" s="255"/>
      <c r="L83" s="255"/>
      <c r="M83" s="255"/>
      <c r="N83" s="255"/>
    </row>
    <row r="84" spans="1:14" ht="15">
      <c r="A84" s="255" t="s">
        <v>550</v>
      </c>
      <c r="B84" s="255"/>
      <c r="C84" s="255"/>
      <c r="D84" s="255"/>
      <c r="E84" s="255"/>
      <c r="F84" s="255"/>
      <c r="G84" s="255"/>
      <c r="H84" s="255"/>
      <c r="I84" s="255"/>
      <c r="J84" s="255"/>
      <c r="K84" s="255"/>
      <c r="L84" s="255"/>
      <c r="M84" s="255"/>
      <c r="N84" s="255"/>
    </row>
    <row r="85" spans="1:14" ht="15">
      <c r="A85" s="255"/>
      <c r="B85" s="255"/>
      <c r="C85" s="255"/>
      <c r="D85" s="255"/>
      <c r="E85" s="255"/>
      <c r="F85" s="255"/>
      <c r="G85" s="255"/>
      <c r="H85" s="255"/>
      <c r="I85" s="255"/>
      <c r="J85" s="255"/>
      <c r="K85" s="255"/>
      <c r="L85" s="255"/>
      <c r="M85" s="255"/>
      <c r="N85" s="255"/>
    </row>
    <row r="86" spans="1:14" ht="15">
      <c r="A86" s="254" t="s">
        <v>552</v>
      </c>
      <c r="B86" s="255"/>
      <c r="C86" s="255"/>
      <c r="D86" s="255"/>
      <c r="E86" s="255"/>
      <c r="F86" s="255"/>
      <c r="G86" s="255"/>
      <c r="H86" s="255"/>
      <c r="I86" s="255"/>
      <c r="J86" s="255"/>
      <c r="K86" s="255"/>
      <c r="L86" s="255"/>
      <c r="M86" s="255"/>
      <c r="N86" s="255"/>
    </row>
    <row r="88" ht="15">
      <c r="A88" t="s">
        <v>577</v>
      </c>
    </row>
    <row r="89" ht="15">
      <c r="A89" t="s">
        <v>578</v>
      </c>
    </row>
    <row r="90" ht="15">
      <c r="A90" t="s">
        <v>579</v>
      </c>
    </row>
    <row r="91" ht="15">
      <c r="A91" t="s">
        <v>580</v>
      </c>
    </row>
    <row r="93" ht="15">
      <c r="A93" t="s">
        <v>585</v>
      </c>
    </row>
    <row r="94" ht="15">
      <c r="A94" t="s">
        <v>581</v>
      </c>
    </row>
    <row r="95" ht="15">
      <c r="A95" t="s">
        <v>582</v>
      </c>
    </row>
    <row r="97" ht="15">
      <c r="A97" t="s">
        <v>586</v>
      </c>
    </row>
    <row r="98" ht="15">
      <c r="A98" t="s">
        <v>583</v>
      </c>
    </row>
    <row r="100" ht="15">
      <c r="A100" t="s">
        <v>587</v>
      </c>
    </row>
    <row r="101" ht="15">
      <c r="A101" t="s">
        <v>584</v>
      </c>
    </row>
    <row r="103" ht="15">
      <c r="A103" t="s">
        <v>595</v>
      </c>
    </row>
    <row r="104" ht="15">
      <c r="A104" t="s">
        <v>588</v>
      </c>
    </row>
    <row r="105" ht="15">
      <c r="A105" t="s">
        <v>589</v>
      </c>
    </row>
    <row r="106" ht="15">
      <c r="A106" t="s">
        <v>590</v>
      </c>
    </row>
    <row r="107" ht="15">
      <c r="A107" t="s">
        <v>591</v>
      </c>
    </row>
    <row r="108" ht="15">
      <c r="A108" t="s">
        <v>592</v>
      </c>
    </row>
    <row r="109" ht="15">
      <c r="A109" t="s">
        <v>593</v>
      </c>
    </row>
    <row r="111" ht="15">
      <c r="A111" t="s">
        <v>596</v>
      </c>
    </row>
    <row r="112" ht="15">
      <c r="A112" t="s">
        <v>594</v>
      </c>
    </row>
  </sheetData>
  <mergeCells count="7">
    <mergeCell ref="A2:S2"/>
    <mergeCell ref="R3:S3"/>
    <mergeCell ref="A4:A5"/>
    <mergeCell ref="C3:G3"/>
    <mergeCell ref="H3:K3"/>
    <mergeCell ref="M3:N3"/>
    <mergeCell ref="P3:Q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topLeftCell="A1">
      <selection activeCell="B4" sqref="B4"/>
    </sheetView>
  </sheetViews>
  <sheetFormatPr defaultColWidth="9.140625" defaultRowHeight="15"/>
  <cols>
    <col min="2" max="2" width="12.28125" style="0" customWidth="1"/>
  </cols>
  <sheetData>
    <row r="1" ht="15">
      <c r="A1" t="s">
        <v>201</v>
      </c>
    </row>
    <row r="3" spans="1:2" ht="28.8">
      <c r="A3" s="6"/>
      <c r="B3" s="7" t="s">
        <v>196</v>
      </c>
    </row>
    <row r="4" spans="1:2" ht="15">
      <c r="A4" s="6" t="s">
        <v>191</v>
      </c>
      <c r="B4" s="6">
        <v>0.007</v>
      </c>
    </row>
    <row r="5" spans="1:2" ht="15">
      <c r="A5" s="6" t="s">
        <v>192</v>
      </c>
      <c r="B5" s="6">
        <v>0.04</v>
      </c>
    </row>
    <row r="6" spans="1:2" ht="15">
      <c r="A6" s="6" t="s">
        <v>193</v>
      </c>
      <c r="B6" s="6">
        <v>0.092</v>
      </c>
    </row>
    <row r="7" spans="1:2" ht="15">
      <c r="A7" s="6" t="s">
        <v>194</v>
      </c>
      <c r="B7" s="6">
        <v>0</v>
      </c>
    </row>
    <row r="8" spans="1:2" ht="15">
      <c r="A8" s="6" t="s">
        <v>195</v>
      </c>
      <c r="B8" s="6">
        <v>117</v>
      </c>
    </row>
    <row r="10" ht="15">
      <c r="A10" s="116" t="s">
        <v>197</v>
      </c>
    </row>
    <row r="11" ht="15">
      <c r="A11" t="s">
        <v>198</v>
      </c>
    </row>
    <row r="12" ht="15">
      <c r="A12" t="s">
        <v>199</v>
      </c>
    </row>
    <row r="13" ht="15">
      <c r="A13" t="s">
        <v>200</v>
      </c>
    </row>
    <row r="15" ht="15">
      <c r="A15" s="117" t="s">
        <v>208</v>
      </c>
    </row>
    <row r="16" ht="15">
      <c r="A16" s="117" t="s">
        <v>202</v>
      </c>
    </row>
    <row r="17" ht="15">
      <c r="A17" s="117" t="s">
        <v>205</v>
      </c>
    </row>
    <row r="18" ht="15">
      <c r="A18" t="s">
        <v>206</v>
      </c>
    </row>
    <row r="19" ht="15">
      <c r="A19" t="s">
        <v>203</v>
      </c>
    </row>
    <row r="20" ht="15">
      <c r="A20" t="s">
        <v>207</v>
      </c>
    </row>
    <row r="21" ht="15">
      <c r="A21" t="s">
        <v>204</v>
      </c>
    </row>
    <row r="23" ht="15">
      <c r="A23" t="s">
        <v>618</v>
      </c>
    </row>
    <row r="24" ht="15">
      <c r="A24" t="s">
        <v>210</v>
      </c>
    </row>
    <row r="25" ht="15">
      <c r="A25" t="s">
        <v>211</v>
      </c>
    </row>
    <row r="26" ht="15">
      <c r="A26" t="s">
        <v>212</v>
      </c>
    </row>
    <row r="28" ht="15">
      <c r="A28" t="s">
        <v>213</v>
      </c>
    </row>
    <row r="29" ht="15">
      <c r="A29" t="s">
        <v>214</v>
      </c>
    </row>
    <row r="30" ht="15">
      <c r="A30" t="s">
        <v>215</v>
      </c>
    </row>
    <row r="31" ht="15">
      <c r="A31" t="s">
        <v>216</v>
      </c>
    </row>
    <row r="32" ht="15">
      <c r="A32" t="s">
        <v>217</v>
      </c>
    </row>
    <row r="33" ht="15">
      <c r="A33" t="s">
        <v>218</v>
      </c>
    </row>
    <row r="34" ht="15">
      <c r="A34" t="s">
        <v>219</v>
      </c>
    </row>
  </sheetData>
  <hyperlinks>
    <hyperlink ref="A17" r:id="rId1" display="http://www.naturalgas.org/environment/naturalgas.asp"/>
    <hyperlink ref="A16" r:id="rId2" display="http://www.epa.gov/ttnchie1/ap42/"/>
    <hyperlink ref="A15" r:id="rId3" display="http://www.epa.gov/climatechange/ghgemissions/ind-assumption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topLeftCell="A1">
      <selection activeCell="C18" sqref="C18"/>
    </sheetView>
  </sheetViews>
  <sheetFormatPr defaultColWidth="9.140625" defaultRowHeight="15"/>
  <cols>
    <col min="1" max="1" width="32.00390625" style="0" customWidth="1"/>
    <col min="2" max="2" width="26.28125" style="3" customWidth="1"/>
    <col min="3" max="3" width="17.8515625" style="3" customWidth="1"/>
    <col min="4" max="4" width="25.00390625" style="3" customWidth="1"/>
  </cols>
  <sheetData>
    <row r="2" spans="1:4" ht="15">
      <c r="A2" s="260" t="s">
        <v>272</v>
      </c>
      <c r="B2" s="260"/>
      <c r="C2" s="260"/>
      <c r="D2" s="260"/>
    </row>
    <row r="3" spans="1:4" s="1" customFormat="1" ht="15">
      <c r="A3" s="4" t="s">
        <v>0</v>
      </c>
      <c r="B3" s="5" t="s">
        <v>1</v>
      </c>
      <c r="C3" s="5" t="s">
        <v>2</v>
      </c>
      <c r="D3" s="5" t="s">
        <v>3</v>
      </c>
    </row>
    <row r="4" spans="1:4" ht="28.8">
      <c r="A4" s="6" t="s">
        <v>4</v>
      </c>
      <c r="B4" s="7" t="s">
        <v>13</v>
      </c>
      <c r="C4" s="7" t="s">
        <v>22</v>
      </c>
      <c r="D4" s="7" t="s">
        <v>28</v>
      </c>
    </row>
    <row r="5" spans="1:4" ht="28.8">
      <c r="A5" s="6" t="s">
        <v>5</v>
      </c>
      <c r="B5" s="7" t="s">
        <v>14</v>
      </c>
      <c r="C5" s="7" t="s">
        <v>22</v>
      </c>
      <c r="D5" s="7"/>
    </row>
    <row r="6" spans="1:4" ht="28.8">
      <c r="A6" s="6" t="s">
        <v>6</v>
      </c>
      <c r="B6" s="7" t="s">
        <v>15</v>
      </c>
      <c r="C6" s="7" t="s">
        <v>23</v>
      </c>
      <c r="D6" s="7"/>
    </row>
    <row r="7" spans="1:4" ht="43.2">
      <c r="A7" s="6" t="s">
        <v>7</v>
      </c>
      <c r="B7" s="7" t="s">
        <v>16</v>
      </c>
      <c r="C7" s="7" t="s">
        <v>23</v>
      </c>
      <c r="D7" s="7"/>
    </row>
    <row r="8" spans="1:4" ht="43.2">
      <c r="A8" s="6" t="s">
        <v>8</v>
      </c>
      <c r="B8" s="7" t="s">
        <v>17</v>
      </c>
      <c r="C8" s="7" t="s">
        <v>24</v>
      </c>
      <c r="D8" s="7"/>
    </row>
    <row r="9" spans="1:4" ht="15">
      <c r="A9" s="6" t="s">
        <v>9</v>
      </c>
      <c r="B9" s="7" t="s">
        <v>18</v>
      </c>
      <c r="C9" s="7" t="s">
        <v>25</v>
      </c>
      <c r="D9" s="7"/>
    </row>
    <row r="10" spans="1:4" ht="28.8">
      <c r="A10" s="6" t="s">
        <v>10</v>
      </c>
      <c r="B10" s="7" t="s">
        <v>19</v>
      </c>
      <c r="C10" s="7" t="s">
        <v>26</v>
      </c>
      <c r="D10" s="7"/>
    </row>
    <row r="11" spans="1:4" ht="28.8">
      <c r="A11" s="6" t="s">
        <v>11</v>
      </c>
      <c r="B11" s="7" t="s">
        <v>20</v>
      </c>
      <c r="C11" s="7"/>
      <c r="D11" s="7" t="s">
        <v>27</v>
      </c>
    </row>
    <row r="12" spans="1:4" ht="28.8">
      <c r="A12" s="6" t="s">
        <v>12</v>
      </c>
      <c r="B12" s="7" t="s">
        <v>21</v>
      </c>
      <c r="C12" s="7"/>
      <c r="D12" s="7" t="s">
        <v>27</v>
      </c>
    </row>
    <row r="14" ht="15">
      <c r="A14" t="s">
        <v>37</v>
      </c>
    </row>
  </sheetData>
  <mergeCells count="1">
    <mergeCell ref="A2:D2"/>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election activeCell="D7" sqref="D7"/>
    </sheetView>
  </sheetViews>
  <sheetFormatPr defaultColWidth="9.140625" defaultRowHeight="15"/>
  <cols>
    <col min="3" max="3" width="10.00390625" style="0" customWidth="1"/>
    <col min="5" max="5" width="13.140625" style="0" customWidth="1"/>
    <col min="6" max="6" width="11.00390625" style="0" customWidth="1"/>
    <col min="7" max="7" width="10.8515625" style="0" customWidth="1"/>
    <col min="8" max="8" width="9.57421875" style="0" bestFit="1" customWidth="1"/>
    <col min="9" max="9" width="12.28125" style="0" customWidth="1"/>
    <col min="10" max="10" width="11.140625" style="0" customWidth="1"/>
    <col min="11" max="11" width="10.28125" style="0" customWidth="1"/>
    <col min="12" max="12" width="11.140625" style="0" customWidth="1"/>
  </cols>
  <sheetData>
    <row r="1" spans="1:12" ht="15">
      <c r="A1" s="260"/>
      <c r="B1" s="260"/>
      <c r="C1" s="260"/>
      <c r="D1" s="260"/>
      <c r="E1" s="260"/>
      <c r="F1" s="260"/>
      <c r="G1" s="260"/>
      <c r="H1" s="260"/>
      <c r="I1" s="260"/>
      <c r="J1" s="260"/>
      <c r="K1" s="260"/>
      <c r="L1" s="260"/>
    </row>
    <row r="2" spans="1:12" ht="15">
      <c r="A2" s="260" t="s">
        <v>626</v>
      </c>
      <c r="B2" s="260"/>
      <c r="C2" s="260"/>
      <c r="D2" s="260"/>
      <c r="E2" s="260"/>
      <c r="F2" s="260"/>
      <c r="G2" s="260"/>
      <c r="H2" s="260"/>
      <c r="I2" s="260"/>
      <c r="J2" s="260"/>
      <c r="K2" s="260"/>
      <c r="L2" s="260"/>
    </row>
    <row r="3" spans="5:12" ht="15">
      <c r="E3" s="6"/>
      <c r="F3" s="262" t="s">
        <v>122</v>
      </c>
      <c r="G3" s="262"/>
      <c r="H3" s="262" t="s">
        <v>126</v>
      </c>
      <c r="I3" s="262"/>
      <c r="J3" s="10"/>
      <c r="K3" s="262" t="s">
        <v>129</v>
      </c>
      <c r="L3" s="262"/>
    </row>
    <row r="4" spans="1:12" ht="28.8">
      <c r="A4" s="265" t="s">
        <v>39</v>
      </c>
      <c r="B4" s="151" t="s">
        <v>134</v>
      </c>
      <c r="C4" s="151" t="s">
        <v>228</v>
      </c>
      <c r="D4" s="151" t="s">
        <v>121</v>
      </c>
      <c r="E4" s="151" t="s">
        <v>125</v>
      </c>
      <c r="F4" s="151" t="s">
        <v>127</v>
      </c>
      <c r="G4" s="151" t="s">
        <v>124</v>
      </c>
      <c r="H4" s="151" t="s">
        <v>127</v>
      </c>
      <c r="I4" s="151" t="s">
        <v>124</v>
      </c>
      <c r="J4" s="151" t="s">
        <v>140</v>
      </c>
      <c r="K4" s="151" t="s">
        <v>127</v>
      </c>
      <c r="L4" s="151" t="s">
        <v>124</v>
      </c>
    </row>
    <row r="5" spans="1:12" ht="15">
      <c r="A5" s="265"/>
      <c r="B5" s="23"/>
      <c r="C5" s="32" t="s">
        <v>119</v>
      </c>
      <c r="D5" s="32" t="s">
        <v>145</v>
      </c>
      <c r="E5" s="32" t="s">
        <v>132</v>
      </c>
      <c r="F5" s="32" t="s">
        <v>133</v>
      </c>
      <c r="G5" s="32" t="s">
        <v>133</v>
      </c>
      <c r="H5" s="32" t="s">
        <v>133</v>
      </c>
      <c r="I5" s="32" t="s">
        <v>133</v>
      </c>
      <c r="J5" s="32"/>
      <c r="K5" s="32" t="s">
        <v>133</v>
      </c>
      <c r="L5" s="32" t="s">
        <v>133</v>
      </c>
    </row>
    <row r="6" spans="1:12" ht="15">
      <c r="A6" s="34">
        <v>2014</v>
      </c>
      <c r="B6" s="34">
        <v>0</v>
      </c>
      <c r="C6" s="19">
        <f>'Table 4'!H4</f>
        <v>2.260620689655172</v>
      </c>
      <c r="D6" s="51">
        <f>'Table 5'!F13</f>
        <v>6950.1640179988</v>
      </c>
      <c r="E6" s="77">
        <f>'Table 5'!B15</f>
        <v>1451.69467371372</v>
      </c>
      <c r="F6" s="118">
        <f>C6*D6/10^6</f>
        <v>0.015711684575585007</v>
      </c>
      <c r="G6" s="119">
        <f>$H$34</f>
        <v>0.02615925477007562</v>
      </c>
      <c r="H6" s="118">
        <f>E6*F6</f>
        <v>22.808568813446765</v>
      </c>
      <c r="I6" s="118">
        <f>E6*G6</f>
        <v>37.975250818039</v>
      </c>
      <c r="J6" s="19">
        <v>1</v>
      </c>
      <c r="K6" s="120">
        <f>H6*J6</f>
        <v>22.808568813446765</v>
      </c>
      <c r="L6" s="120">
        <f>I6*J6</f>
        <v>37.975250818039</v>
      </c>
    </row>
    <row r="7" spans="1:12" ht="15">
      <c r="A7" s="32">
        <v>2015</v>
      </c>
      <c r="B7" s="32">
        <v>1</v>
      </c>
      <c r="C7" s="196">
        <f>'Table 4'!H5</f>
        <v>2.384714224137931</v>
      </c>
      <c r="D7" s="39">
        <f>$D$6*(1+'Table 5'!$F$16)^B7</f>
        <v>6957.114182016798</v>
      </c>
      <c r="E7" s="77">
        <f>E6-(E6*'Table 3'!$B$22)</f>
        <v>1444.4362003451515</v>
      </c>
      <c r="F7" s="118">
        <f aca="true" t="shared" si="0" ref="F7:F30">C7*D7/10^6</f>
        <v>0.016590729148807187</v>
      </c>
      <c r="G7" s="119">
        <f aca="true" t="shared" si="1" ref="G7:G30">$H$34</f>
        <v>0.02615925477007562</v>
      </c>
      <c r="H7" s="118">
        <f aca="true" t="shared" si="2" ref="H7:H30">E7*F7</f>
        <v>23.964249772658604</v>
      </c>
      <c r="I7" s="118">
        <f aca="true" t="shared" si="3" ref="I7:I30">E7*G7</f>
        <v>37.785374563948814</v>
      </c>
      <c r="J7" s="19">
        <f>1/(1+'Table 3'!$F$5)^B7</f>
        <v>0.9448893298372426</v>
      </c>
      <c r="K7" s="120">
        <f aca="true" t="shared" si="4" ref="K7:K30">H7*J7</f>
        <v>22.643563907739683</v>
      </c>
      <c r="L7" s="120">
        <f aca="true" t="shared" si="5" ref="L7:L30">I7*J7</f>
        <v>35.70299724937879</v>
      </c>
    </row>
    <row r="8" spans="1:12" ht="15">
      <c r="A8" s="32">
        <v>2016</v>
      </c>
      <c r="B8" s="32">
        <v>2</v>
      </c>
      <c r="C8" s="196">
        <f>'Table 4'!H6</f>
        <v>2.5148753211206896</v>
      </c>
      <c r="D8" s="198">
        <f>$D$6*(1+'Table 5'!$F$16)^B8</f>
        <v>6964.071296198814</v>
      </c>
      <c r="E8" s="205">
        <f>E7-(E7*'Table 3'!$B$22)</f>
        <v>1437.2140193434257</v>
      </c>
      <c r="F8" s="118">
        <f t="shared" si="0"/>
        <v>0.01751377103733537</v>
      </c>
      <c r="G8" s="119">
        <f t="shared" si="1"/>
        <v>0.02615925477007562</v>
      </c>
      <c r="H8" s="118">
        <f t="shared" si="2"/>
        <v>25.17103726642924</v>
      </c>
      <c r="I8" s="118">
        <f t="shared" si="3"/>
        <v>37.596447691129065</v>
      </c>
      <c r="J8" s="196">
        <f>1/(1+'Table 3'!$F$5)^B8</f>
        <v>0.8928158456402735</v>
      </c>
      <c r="K8" s="120">
        <f t="shared" si="4"/>
        <v>22.47310092266986</v>
      </c>
      <c r="L8" s="120">
        <f t="shared" si="5"/>
        <v>33.56670423842571</v>
      </c>
    </row>
    <row r="9" spans="1:12" ht="15">
      <c r="A9" s="32">
        <v>2017</v>
      </c>
      <c r="B9" s="32">
        <v>3</v>
      </c>
      <c r="C9" s="196">
        <f>'Table 4'!H7</f>
        <v>2.649290363305496</v>
      </c>
      <c r="D9" s="198">
        <f>$D$6*(1+'Table 5'!$F$16)^B9</f>
        <v>6971.035367495011</v>
      </c>
      <c r="E9" s="205">
        <f>E8-(E8*'Table 3'!$B$22)</f>
        <v>1430.0279492467084</v>
      </c>
      <c r="F9" s="118">
        <f t="shared" si="0"/>
        <v>0.018468296821366317</v>
      </c>
      <c r="G9" s="119">
        <f t="shared" si="1"/>
        <v>0.02615925477007562</v>
      </c>
      <c r="H9" s="118">
        <f t="shared" si="2"/>
        <v>26.41018062953798</v>
      </c>
      <c r="I9" s="118">
        <f t="shared" si="3"/>
        <v>37.40846545267342</v>
      </c>
      <c r="J9" s="196">
        <f>1/(1+'Table 3'!$F$5)^B9</f>
        <v>0.8436121660551091</v>
      </c>
      <c r="K9" s="120">
        <f t="shared" si="4"/>
        <v>22.27994968679122</v>
      </c>
      <c r="L9" s="120">
        <f t="shared" si="5"/>
        <v>31.55823656932754</v>
      </c>
    </row>
    <row r="10" spans="1:12" ht="15">
      <c r="A10" s="32">
        <v>2018</v>
      </c>
      <c r="B10" s="32">
        <v>4</v>
      </c>
      <c r="C10" s="196">
        <f>'Table 4'!H8</f>
        <v>2.790152152098869</v>
      </c>
      <c r="D10" s="198">
        <f>$D$6*(1+'Table 5'!$F$16)^B10</f>
        <v>6978.006402862506</v>
      </c>
      <c r="E10" s="205">
        <f>E9-(E9*'Table 3'!$B$22)</f>
        <v>1422.877809500475</v>
      </c>
      <c r="F10" s="118">
        <f t="shared" si="0"/>
        <v>0.01946969958230651</v>
      </c>
      <c r="G10" s="119">
        <f t="shared" si="1"/>
        <v>0.02615925477007562</v>
      </c>
      <c r="H10" s="118">
        <f t="shared" si="2"/>
        <v>27.7030034933046</v>
      </c>
      <c r="I10" s="118">
        <f t="shared" si="3"/>
        <v>37.22142312541005</v>
      </c>
      <c r="J10" s="196">
        <f>1/(1+'Table 3'!$F$5)^B10</f>
        <v>0.7971201342263567</v>
      </c>
      <c r="K10" s="120">
        <f t="shared" si="4"/>
        <v>22.082621863056193</v>
      </c>
      <c r="L10" s="120">
        <f t="shared" si="5"/>
        <v>29.669945797822876</v>
      </c>
    </row>
    <row r="11" spans="1:12" ht="15">
      <c r="A11" s="32">
        <v>2019</v>
      </c>
      <c r="B11" s="32">
        <v>5</v>
      </c>
      <c r="C11" s="196">
        <f>'Table 4'!H9</f>
        <v>3.004968903095667</v>
      </c>
      <c r="D11" s="198">
        <f>$D$6*(1+'Table 5'!$F$16)^B11</f>
        <v>6984.9844092653675</v>
      </c>
      <c r="E11" s="205">
        <f>E10-(E10*'Table 3'!$B$22)</f>
        <v>1415.7634204529727</v>
      </c>
      <c r="F11" s="118">
        <f t="shared" si="0"/>
        <v>0.020989660938450488</v>
      </c>
      <c r="G11" s="119">
        <f t="shared" si="1"/>
        <v>0.02615925477007562</v>
      </c>
      <c r="H11" s="118">
        <f t="shared" si="2"/>
        <v>29.716394164368815</v>
      </c>
      <c r="I11" s="118">
        <f t="shared" si="3"/>
        <v>37.035316009783</v>
      </c>
      <c r="J11" s="196">
        <f>1/(1+'Table 3'!$F$5)^B11</f>
        <v>0.7531903094289151</v>
      </c>
      <c r="K11" s="120">
        <f t="shared" si="4"/>
        <v>22.382100115772555</v>
      </c>
      <c r="L11" s="120">
        <f t="shared" si="5"/>
        <v>27.89464112520611</v>
      </c>
    </row>
    <row r="12" spans="1:12" ht="15">
      <c r="A12" s="32">
        <v>2020</v>
      </c>
      <c r="B12" s="32">
        <v>6</v>
      </c>
      <c r="C12" s="196">
        <f>'Table 4'!H10</f>
        <v>3.1592353228815315</v>
      </c>
      <c r="D12" s="198">
        <f>$D$6*(1+'Table 5'!$F$16)^B12</f>
        <v>6991.969393674631</v>
      </c>
      <c r="E12" s="205">
        <f>E11-(E11*'Table 3'!$B$22)</f>
        <v>1408.684603350708</v>
      </c>
      <c r="F12" s="118">
        <f t="shared" si="0"/>
        <v>0.022089276685003458</v>
      </c>
      <c r="G12" s="119">
        <f t="shared" si="1"/>
        <v>0.02615925477007562</v>
      </c>
      <c r="H12" s="118">
        <f t="shared" si="2"/>
        <v>31.116823965318137</v>
      </c>
      <c r="I12" s="118">
        <f t="shared" si="3"/>
        <v>36.85013942973409</v>
      </c>
      <c r="J12" s="196">
        <f>1/(1+'Table 3'!$F$5)^B12</f>
        <v>0.7116814867161929</v>
      </c>
      <c r="K12" s="120">
        <f t="shared" si="4"/>
        <v>22.145267541523673</v>
      </c>
      <c r="L12" s="120">
        <f t="shared" si="5"/>
        <v>26.22556201505216</v>
      </c>
    </row>
    <row r="13" spans="1:12" ht="15">
      <c r="A13" s="32">
        <v>2021</v>
      </c>
      <c r="B13" s="32">
        <v>7</v>
      </c>
      <c r="C13" s="196">
        <f>'Table 4'!H11</f>
        <v>3.2464467942607733</v>
      </c>
      <c r="D13" s="198">
        <f>$D$6*(1+'Table 5'!$F$16)^B13</f>
        <v>6998.961363068304</v>
      </c>
      <c r="E13" s="205">
        <f>E12-(E12*'Table 3'!$B$22)</f>
        <v>1401.6411803339543</v>
      </c>
      <c r="F13" s="118">
        <f t="shared" si="0"/>
        <v>0.022721755680288107</v>
      </c>
      <c r="G13" s="119">
        <f t="shared" si="1"/>
        <v>0.02615925477007562</v>
      </c>
      <c r="H13" s="118">
        <f t="shared" si="2"/>
        <v>31.847748450978752</v>
      </c>
      <c r="I13" s="118">
        <f t="shared" si="3"/>
        <v>36.665888732585415</v>
      </c>
      <c r="J13" s="196">
        <f>1/(1+'Table 3'!$F$5)^B13</f>
        <v>0.6724602430408361</v>
      </c>
      <c r="K13" s="120">
        <f t="shared" si="4"/>
        <v>21.416344663648584</v>
      </c>
      <c r="L13" s="120">
        <f t="shared" si="5"/>
        <v>24.65635244842264</v>
      </c>
    </row>
    <row r="14" spans="1:12" ht="15">
      <c r="A14" s="32">
        <v>2022</v>
      </c>
      <c r="B14" s="32">
        <v>8</v>
      </c>
      <c r="C14" s="196">
        <f>'Table 4'!H12</f>
        <v>3.4101595248495244</v>
      </c>
      <c r="D14" s="198">
        <f>$D$6*(1+'Table 5'!$F$16)^B14</f>
        <v>7005.960324431373</v>
      </c>
      <c r="E14" s="205">
        <f>E13-(E13*'Table 3'!$B$22)</f>
        <v>1394.6329744322845</v>
      </c>
      <c r="F14" s="118">
        <f t="shared" si="0"/>
        <v>0.02389144233107751</v>
      </c>
      <c r="G14" s="119">
        <f t="shared" si="1"/>
        <v>0.02615925477007562</v>
      </c>
      <c r="H14" s="118">
        <f t="shared" si="2"/>
        <v>33.31979328166803</v>
      </c>
      <c r="I14" s="118">
        <f t="shared" si="3"/>
        <v>36.48255928892249</v>
      </c>
      <c r="J14" s="196">
        <f>1/(1+'Table 3'!$F$5)^B14</f>
        <v>0.6354005083890449</v>
      </c>
      <c r="K14" s="120">
        <f t="shared" si="4"/>
        <v>21.171413590589747</v>
      </c>
      <c r="L14" s="120">
        <f t="shared" si="5"/>
        <v>23.18103671951482</v>
      </c>
    </row>
    <row r="15" spans="1:12" ht="15">
      <c r="A15" s="32">
        <v>2023</v>
      </c>
      <c r="B15" s="32">
        <v>9</v>
      </c>
      <c r="C15" s="196">
        <f>'Table 4'!H13</f>
        <v>3.582386955232497</v>
      </c>
      <c r="D15" s="198">
        <f>$D$6*(1+'Table 5'!$F$16)^B15</f>
        <v>7012.966284755804</v>
      </c>
      <c r="E15" s="205">
        <f>E14-(E14*'Table 3'!$B$22)</f>
        <v>1387.659809560123</v>
      </c>
      <c r="F15" s="118">
        <f t="shared" si="0"/>
        <v>0.025123158935994504</v>
      </c>
      <c r="G15" s="119">
        <f t="shared" si="1"/>
        <v>0.02615925477007562</v>
      </c>
      <c r="H15" s="118">
        <f t="shared" si="2"/>
        <v>34.86239794467083</v>
      </c>
      <c r="I15" s="118">
        <f t="shared" si="3"/>
        <v>36.30014649247788</v>
      </c>
      <c r="J15" s="196">
        <f>1/(1+'Table 3'!$F$5)^B15</f>
        <v>0.600383160549968</v>
      </c>
      <c r="K15" s="120">
        <f t="shared" si="4"/>
        <v>20.93079666237218</v>
      </c>
      <c r="L15" s="120">
        <f t="shared" si="5"/>
        <v>21.793996679580705</v>
      </c>
    </row>
    <row r="16" spans="1:12" ht="15">
      <c r="A16" s="32">
        <v>2024</v>
      </c>
      <c r="B16" s="32">
        <v>10</v>
      </c>
      <c r="C16" s="196">
        <f>'Table 4'!H14</f>
        <v>3.759365098645867</v>
      </c>
      <c r="D16" s="198">
        <f>$D$6*(1+'Table 5'!$F$16)^B16</f>
        <v>7019.979251040559</v>
      </c>
      <c r="E16" s="205">
        <f>E15-(E15*'Table 3'!$B$22)</f>
        <v>1380.7215105123223</v>
      </c>
      <c r="F16" s="118">
        <f t="shared" si="0"/>
        <v>0.02639066498958003</v>
      </c>
      <c r="G16" s="119">
        <f t="shared" si="1"/>
        <v>0.02615925477007562</v>
      </c>
      <c r="H16" s="118">
        <f t="shared" si="2"/>
        <v>36.4381588278376</v>
      </c>
      <c r="I16" s="118">
        <f t="shared" si="3"/>
        <v>36.11864576001548</v>
      </c>
      <c r="J16" s="196">
        <f>1/(1+'Table 3'!$F$5)^B16</f>
        <v>0.5672956422176249</v>
      </c>
      <c r="K16" s="120">
        <f t="shared" si="4"/>
        <v>20.671208713465948</v>
      </c>
      <c r="L16" s="120">
        <f t="shared" si="5"/>
        <v>20.489950342458876</v>
      </c>
    </row>
    <row r="17" spans="1:12" ht="15">
      <c r="A17" s="32">
        <v>2025</v>
      </c>
      <c r="B17" s="32">
        <v>11</v>
      </c>
      <c r="C17" s="196">
        <f>'Table 4'!H15</f>
        <v>3.9443380223120768</v>
      </c>
      <c r="D17" s="198">
        <f>$D$6*(1+'Table 5'!$F$16)^B17</f>
        <v>7026.999230291597</v>
      </c>
      <c r="E17" s="205">
        <f>E16-(E16*'Table 3'!$B$22)</f>
        <v>1373.8179029597607</v>
      </c>
      <c r="F17" s="118">
        <f t="shared" si="0"/>
        <v>0.027716860246796846</v>
      </c>
      <c r="G17" s="119">
        <f t="shared" si="1"/>
        <v>0.02615925477007562</v>
      </c>
      <c r="H17" s="118">
        <f t="shared" si="2"/>
        <v>38.0779188208832</v>
      </c>
      <c r="I17" s="118">
        <f t="shared" si="3"/>
        <v>35.938052531215405</v>
      </c>
      <c r="J17" s="196">
        <f>1/(1+'Table 3'!$F$5)^B17</f>
        <v>0.5360315991945998</v>
      </c>
      <c r="K17" s="120">
        <f t="shared" si="4"/>
        <v>20.41096771956017</v>
      </c>
      <c r="L17" s="120">
        <f t="shared" si="5"/>
        <v>19.263931770246927</v>
      </c>
    </row>
    <row r="18" spans="1:12" ht="15">
      <c r="A18" s="32">
        <v>2026</v>
      </c>
      <c r="B18" s="32">
        <v>12</v>
      </c>
      <c r="C18" s="196">
        <f>'Table 4'!H16</f>
        <v>4.136558111924077</v>
      </c>
      <c r="D18" s="198">
        <f>$D$6*(1+'Table 5'!$F$16)^B18</f>
        <v>7034.026229521888</v>
      </c>
      <c r="E18" s="205">
        <f>E17-(E17*'Table 3'!$B$22)</f>
        <v>1366.9488134449618</v>
      </c>
      <c r="F18" s="118">
        <f t="shared" si="0"/>
        <v>0.029096658259215494</v>
      </c>
      <c r="G18" s="119">
        <f t="shared" si="1"/>
        <v>0.02615925477007562</v>
      </c>
      <c r="H18" s="118">
        <f t="shared" si="2"/>
        <v>39.77364248264817</v>
      </c>
      <c r="I18" s="118">
        <f t="shared" si="3"/>
        <v>35.75836226855933</v>
      </c>
      <c r="J18" s="196">
        <f>1/(1+'Table 3'!$F$5)^B18</f>
        <v>0.5064905385345708</v>
      </c>
      <c r="K18" s="120">
        <f t="shared" si="4"/>
        <v>20.144973600517957</v>
      </c>
      <c r="L18" s="120">
        <f t="shared" si="5"/>
        <v>18.111272162516894</v>
      </c>
    </row>
    <row r="19" spans="1:12" ht="15">
      <c r="A19" s="32">
        <v>2027</v>
      </c>
      <c r="B19" s="32">
        <v>13</v>
      </c>
      <c r="C19" s="196">
        <f>'Table 4'!H17</f>
        <v>4.337286344585364</v>
      </c>
      <c r="D19" s="198">
        <f>$D$6*(1+'Table 5'!$F$16)^B19</f>
        <v>7041.06025575141</v>
      </c>
      <c r="E19" s="205">
        <f>E18-(E18*'Table 3'!$B$22)</f>
        <v>1360.114069377737</v>
      </c>
      <c r="F19" s="118">
        <f t="shared" si="0"/>
        <v>0.030539094498673328</v>
      </c>
      <c r="G19" s="119">
        <f t="shared" si="1"/>
        <v>0.02615925477007562</v>
      </c>
      <c r="H19" s="118">
        <f t="shared" si="2"/>
        <v>41.53665209370184</v>
      </c>
      <c r="I19" s="118">
        <f t="shared" si="3"/>
        <v>35.57957045721653</v>
      </c>
      <c r="J19" s="196">
        <f>1/(1+'Table 3'!$F$5)^B19</f>
        <v>0.4785775055248347</v>
      </c>
      <c r="K19" s="120">
        <f t="shared" si="4"/>
        <v>19.87850734685673</v>
      </c>
      <c r="L19" s="120">
        <f t="shared" si="5"/>
        <v>17.02758207705979</v>
      </c>
    </row>
    <row r="20" spans="1:12" ht="15">
      <c r="A20" s="32">
        <v>2028</v>
      </c>
      <c r="B20" s="32">
        <v>14</v>
      </c>
      <c r="C20" s="196">
        <f>'Table 4'!H18</f>
        <v>4.543792570470878</v>
      </c>
      <c r="D20" s="198">
        <f>$D$6*(1+'Table 5'!$F$16)^B20</f>
        <v>7048.101316007159</v>
      </c>
      <c r="E20" s="205">
        <f>E19-(E19*'Table 3'!$B$22)</f>
        <v>1353.3134990308483</v>
      </c>
      <c r="F20" s="118">
        <f t="shared" si="0"/>
        <v>0.03202511039559935</v>
      </c>
      <c r="G20" s="119">
        <f t="shared" si="1"/>
        <v>0.02615925477007562</v>
      </c>
      <c r="H20" s="118">
        <f t="shared" si="2"/>
        <v>43.34001420631775</v>
      </c>
      <c r="I20" s="118">
        <f t="shared" si="3"/>
        <v>35.40167260493045</v>
      </c>
      <c r="J20" s="196">
        <f>1/(1+'Table 3'!$F$5)^B20</f>
        <v>0.45220277847054036</v>
      </c>
      <c r="K20" s="120">
        <f t="shared" si="4"/>
        <v>19.598474843049576</v>
      </c>
      <c r="L20" s="120">
        <f t="shared" si="5"/>
        <v>16.00873471445396</v>
      </c>
    </row>
    <row r="21" spans="1:12" ht="15">
      <c r="A21" s="32">
        <v>2029</v>
      </c>
      <c r="B21" s="32">
        <v>15</v>
      </c>
      <c r="C21" s="196">
        <f>'Table 4'!H19</f>
        <v>4.760355803482003</v>
      </c>
      <c r="D21" s="198">
        <f>$D$6*(1+'Table 5'!$F$16)^B21</f>
        <v>7055.149417323166</v>
      </c>
      <c r="E21" s="205">
        <f>E20-(E20*'Table 3'!$B$22)</f>
        <v>1346.546931535694</v>
      </c>
      <c r="F21" s="118">
        <f t="shared" si="0"/>
        <v>0.03358502147318701</v>
      </c>
      <c r="G21" s="119">
        <f t="shared" si="1"/>
        <v>0.02615925477007562</v>
      </c>
      <c r="H21" s="118">
        <f t="shared" si="2"/>
        <v>45.22380761028036</v>
      </c>
      <c r="I21" s="118">
        <f t="shared" si="3"/>
        <v>35.2246642419058</v>
      </c>
      <c r="J21" s="196">
        <f>1/(1+'Table 3'!$F$5)^B21</f>
        <v>0.4272815802995679</v>
      </c>
      <c r="K21" s="120">
        <f t="shared" si="4"/>
        <v>19.32329998288422</v>
      </c>
      <c r="L21" s="120">
        <f t="shared" si="5"/>
        <v>15.050850202803192</v>
      </c>
    </row>
    <row r="22" spans="1:12" ht="15">
      <c r="A22" s="32">
        <v>2030</v>
      </c>
      <c r="B22" s="32">
        <v>16</v>
      </c>
      <c r="C22" s="196">
        <f>'Table 4'!H20</f>
        <v>4.984264521177322</v>
      </c>
      <c r="D22" s="198">
        <f>$D$6*(1+'Table 5'!$F$16)^B22</f>
        <v>7062.204566740488</v>
      </c>
      <c r="E22" s="205">
        <f>E21-(E21*'Table 3'!$B$22)</f>
        <v>1339.8141968780155</v>
      </c>
      <c r="F22" s="118">
        <f t="shared" si="0"/>
        <v>0.035199895663301076</v>
      </c>
      <c r="G22" s="119">
        <f t="shared" si="1"/>
        <v>0.02615925477007562</v>
      </c>
      <c r="H22" s="118">
        <f t="shared" si="2"/>
        <v>47.16131993831567</v>
      </c>
      <c r="I22" s="118">
        <f t="shared" si="3"/>
        <v>35.04854092069627</v>
      </c>
      <c r="J22" s="196">
        <f>1/(1+'Table 3'!$F$5)^B22</f>
        <v>0.40373380606105674</v>
      </c>
      <c r="K22" s="120">
        <f t="shared" si="4"/>
        <v>19.040619197559387</v>
      </c>
      <c r="L22" s="120">
        <f t="shared" si="5"/>
        <v>14.150280822799399</v>
      </c>
    </row>
    <row r="23" spans="1:12" ht="15">
      <c r="A23" s="32">
        <v>2031</v>
      </c>
      <c r="B23" s="32">
        <v>17</v>
      </c>
      <c r="C23" s="196">
        <f>'Table 4'!H21</f>
        <v>5.121839295509699</v>
      </c>
      <c r="D23" s="198">
        <f>$D$6*(1+'Table 5'!$F$16)^B23</f>
        <v>7069.266771307227</v>
      </c>
      <c r="E23" s="205">
        <f>E22-(E22*'Table 3'!$B$22)</f>
        <v>1333.1151258936254</v>
      </c>
      <c r="F23" s="118">
        <f t="shared" si="0"/>
        <v>0.036207648339722336</v>
      </c>
      <c r="G23" s="119">
        <f t="shared" si="1"/>
        <v>0.02615925477007562</v>
      </c>
      <c r="H23" s="118">
        <f t="shared" si="2"/>
        <v>48.26896367472106</v>
      </c>
      <c r="I23" s="118">
        <f t="shared" si="3"/>
        <v>34.873298216092785</v>
      </c>
      <c r="J23" s="196">
        <f>1/(1+'Table 3'!$F$5)^B23</f>
        <v>0.3814837654416712</v>
      </c>
      <c r="K23" s="120">
        <f t="shared" si="4"/>
        <v>18.413826016599835</v>
      </c>
      <c r="L23" s="120">
        <f t="shared" si="5"/>
        <v>13.30359711684539</v>
      </c>
    </row>
    <row r="24" spans="1:12" ht="15">
      <c r="A24" s="32">
        <v>2032</v>
      </c>
      <c r="B24" s="32">
        <v>18</v>
      </c>
      <c r="C24" s="196">
        <f>'Table 4'!H22</f>
        <v>5.360704441061913</v>
      </c>
      <c r="D24" s="198">
        <f>$D$6*(1+'Table 5'!$F$16)^B24</f>
        <v>7076.336038078534</v>
      </c>
      <c r="E24" s="205">
        <f>E23-(E23*'Table 3'!$B$22)</f>
        <v>1326.4495502641573</v>
      </c>
      <c r="F24" s="118">
        <f t="shared" si="0"/>
        <v>0.03793414602577406</v>
      </c>
      <c r="G24" s="119">
        <f t="shared" si="1"/>
        <v>0.02615925477007562</v>
      </c>
      <c r="H24" s="118">
        <f t="shared" si="2"/>
        <v>50.31773093554287</v>
      </c>
      <c r="I24" s="118">
        <f t="shared" si="3"/>
        <v>34.69893172501232</v>
      </c>
      <c r="J24" s="196">
        <f>1/(1+'Table 3'!$F$5)^B24</f>
        <v>0.3604599394719686</v>
      </c>
      <c r="K24" s="120">
        <f t="shared" si="4"/>
        <v>18.137526247392582</v>
      </c>
      <c r="L24" s="120">
        <f t="shared" si="5"/>
        <v>12.507574829339912</v>
      </c>
    </row>
    <row r="25" spans="1:12" ht="15">
      <c r="A25" s="32">
        <v>2033</v>
      </c>
      <c r="B25" s="32">
        <v>19</v>
      </c>
      <c r="C25" s="196">
        <f>'Table 4'!H23</f>
        <v>5.609767847402268</v>
      </c>
      <c r="D25" s="198">
        <f>$D$6*(1+'Table 5'!$F$16)^B25</f>
        <v>7083.41237411661</v>
      </c>
      <c r="E25" s="205">
        <f>E24-(E24*'Table 3'!$B$22)</f>
        <v>1319.8173025128365</v>
      </c>
      <c r="F25" s="118">
        <f t="shared" si="0"/>
        <v>0.03973629898621073</v>
      </c>
      <c r="G25" s="119">
        <f t="shared" si="1"/>
        <v>0.02615925477007562</v>
      </c>
      <c r="H25" s="118">
        <f t="shared" si="2"/>
        <v>52.444654939824204</v>
      </c>
      <c r="I25" s="118">
        <f t="shared" si="3"/>
        <v>34.525437066387255</v>
      </c>
      <c r="J25" s="196">
        <f>1/(1+'Table 3'!$F$5)^B25</f>
        <v>0.34059475064084144</v>
      </c>
      <c r="K25" s="120">
        <f t="shared" si="4"/>
        <v>17.862374171674396</v>
      </c>
      <c r="L25" s="120">
        <f t="shared" si="5"/>
        <v>11.759182628392232</v>
      </c>
    </row>
    <row r="26" spans="1:12" ht="15">
      <c r="A26" s="32">
        <v>2034</v>
      </c>
      <c r="B26" s="32">
        <v>20</v>
      </c>
      <c r="C26" s="196">
        <f>'Table 4'!H24</f>
        <v>5.868357045857791</v>
      </c>
      <c r="D26" s="198">
        <f>$D$6*(1+'Table 5'!$F$16)^B26</f>
        <v>7090.4957864907265</v>
      </c>
      <c r="E26" s="205">
        <f>E25-(E25*'Table 3'!$B$22)</f>
        <v>1313.2182160002724</v>
      </c>
      <c r="F26" s="118">
        <f t="shared" si="0"/>
        <v>0.04160956090727783</v>
      </c>
      <c r="G26" s="119">
        <f t="shared" si="1"/>
        <v>0.02615925477007562</v>
      </c>
      <c r="H26" s="118">
        <f t="shared" si="2"/>
        <v>54.64243334321007</v>
      </c>
      <c r="I26" s="118">
        <f t="shared" si="3"/>
        <v>34.35280988105532</v>
      </c>
      <c r="J26" s="196">
        <f>1/(1+'Table 3'!$F$5)^B26</f>
        <v>0.3218243456791074</v>
      </c>
      <c r="K26" s="120">
        <f t="shared" si="4"/>
        <v>17.58526535699282</v>
      </c>
      <c r="L26" s="120">
        <f t="shared" si="5"/>
        <v>11.055570562209404</v>
      </c>
    </row>
    <row r="27" spans="1:12" ht="15">
      <c r="A27" s="32">
        <v>2035</v>
      </c>
      <c r="B27" s="32">
        <v>21</v>
      </c>
      <c r="C27" s="196">
        <f>'Table 4'!H25</f>
        <v>6.136810625793768</v>
      </c>
      <c r="D27" s="198">
        <f>$D$6*(1+'Table 5'!$F$16)^B27</f>
        <v>7097.586282277217</v>
      </c>
      <c r="E27" s="205">
        <f>E26-(E26*'Table 3'!$B$22)</f>
        <v>1306.652124920271</v>
      </c>
      <c r="F27" s="118">
        <f t="shared" si="0"/>
        <v>0.04355654291456691</v>
      </c>
      <c r="G27" s="119">
        <f t="shared" si="1"/>
        <v>0.02615925477007562</v>
      </c>
      <c r="H27" s="118">
        <f t="shared" si="2"/>
        <v>56.91324935349983</v>
      </c>
      <c r="I27" s="118">
        <f t="shared" si="3"/>
        <v>34.181045831650046</v>
      </c>
      <c r="J27" s="196">
        <f>1/(1+'Table 3'!$F$5)^B27</f>
        <v>0.3040883903140409</v>
      </c>
      <c r="K27" s="120">
        <f t="shared" si="4"/>
        <v>17.30665838344739</v>
      </c>
      <c r="L27" s="120">
        <f t="shared" si="5"/>
        <v>10.39405920619692</v>
      </c>
    </row>
    <row r="28" spans="1:12" ht="15">
      <c r="A28" s="32">
        <v>2036</v>
      </c>
      <c r="B28" s="32">
        <v>22</v>
      </c>
      <c r="C28" s="196">
        <f>'Table 4'!H26</f>
        <v>6.415478595110295</v>
      </c>
      <c r="D28" s="198">
        <f>$D$6*(1+'Table 5'!$F$16)^B28</f>
        <v>7104.683868559492</v>
      </c>
      <c r="E28" s="205">
        <f>E27-(E27*'Table 3'!$B$22)</f>
        <v>1300.1188642956697</v>
      </c>
      <c r="F28" s="118">
        <f t="shared" si="0"/>
        <v>0.045579947283768824</v>
      </c>
      <c r="G28" s="119">
        <f t="shared" si="1"/>
        <v>0.02615925477007562</v>
      </c>
      <c r="H28" s="118">
        <f t="shared" si="2"/>
        <v>59.25934929723002</v>
      </c>
      <c r="I28" s="118">
        <f t="shared" si="3"/>
        <v>34.010140602491795</v>
      </c>
      <c r="J28" s="196">
        <f>1/(1+'Table 3'!$F$5)^B28</f>
        <v>0.28732987533511994</v>
      </c>
      <c r="K28" s="120">
        <f t="shared" si="4"/>
        <v>17.02698144601343</v>
      </c>
      <c r="L28" s="120">
        <f t="shared" si="5"/>
        <v>9.77212945944387</v>
      </c>
    </row>
    <row r="29" spans="1:12" ht="15">
      <c r="A29" s="32">
        <v>2037</v>
      </c>
      <c r="B29" s="32">
        <v>23</v>
      </c>
      <c r="C29" s="196">
        <f>'Table 4'!H27</f>
        <v>6.703722752203475</v>
      </c>
      <c r="D29" s="198">
        <f>$D$6*(1+'Table 5'!$F$16)^B29</f>
        <v>7111.78855242805</v>
      </c>
      <c r="E29" s="205">
        <f>E28-(E28*'Table 3'!$B$22)</f>
        <v>1293.6182699741914</v>
      </c>
      <c r="F29" s="118">
        <f t="shared" si="0"/>
        <v>0.04767545872777213</v>
      </c>
      <c r="G29" s="119">
        <f t="shared" si="1"/>
        <v>0.02615925477007562</v>
      </c>
      <c r="H29" s="118">
        <f t="shared" si="2"/>
        <v>61.67384443964655</v>
      </c>
      <c r="I29" s="118">
        <f t="shared" si="3"/>
        <v>33.84008989947934</v>
      </c>
      <c r="J29" s="196">
        <f>1/(1+'Table 3'!$F$5)^B29</f>
        <v>0.27149493334762</v>
      </c>
      <c r="K29" s="120">
        <f t="shared" si="4"/>
        <v>16.744136285433324</v>
      </c>
      <c r="L29" s="120">
        <f t="shared" si="5"/>
        <v>9.187412951736611</v>
      </c>
    </row>
    <row r="30" spans="1:12" ht="15">
      <c r="A30" s="32">
        <v>2038</v>
      </c>
      <c r="B30" s="32">
        <v>24</v>
      </c>
      <c r="C30" s="196">
        <f>'Table 4'!H28</f>
        <v>7.004917069749226</v>
      </c>
      <c r="D30" s="198">
        <f>$D$6*(1+'Table 5'!$F$16)^B30</f>
        <v>7118.90034098048</v>
      </c>
      <c r="E30" s="205">
        <f>E29-(E29*'Table 3'!$B$22)</f>
        <v>1287.1501786243205</v>
      </c>
      <c r="F30" s="118">
        <f t="shared" si="0"/>
        <v>0.04986730651637775</v>
      </c>
      <c r="G30" s="119">
        <f t="shared" si="1"/>
        <v>0.02615925477007562</v>
      </c>
      <c r="H30" s="118">
        <f t="shared" si="2"/>
        <v>64.18671249006937</v>
      </c>
      <c r="I30" s="118">
        <f t="shared" si="3"/>
        <v>33.67088944998194</v>
      </c>
      <c r="J30" s="196">
        <f>1/(1+'Table 3'!$F$5)^B30</f>
        <v>0.2565326656250395</v>
      </c>
      <c r="K30" s="120">
        <f t="shared" si="4"/>
        <v>16.465988452785513</v>
      </c>
      <c r="L30" s="120">
        <f t="shared" si="5"/>
        <v>8.637683024569888</v>
      </c>
    </row>
    <row r="31" ht="15" thickBot="1"/>
    <row r="32" spans="9:12" ht="15" thickBot="1">
      <c r="I32" s="49" t="s">
        <v>144</v>
      </c>
      <c r="J32" s="83"/>
      <c r="K32" s="121">
        <f>SUM(K6:K31)</f>
        <v>498.94453553184377</v>
      </c>
      <c r="L32" s="122">
        <f>SUM(L6:L31)</f>
        <v>498.9445355318436</v>
      </c>
    </row>
    <row r="33" ht="15" thickBot="1"/>
    <row r="34" spans="6:8" ht="15" thickBot="1">
      <c r="F34" s="49" t="s">
        <v>165</v>
      </c>
      <c r="G34" s="83"/>
      <c r="H34" s="90">
        <f>SUMPRODUCT(H6:H30,J6:J30)/SUMPRODUCT(E6:E30,J6:J30)</f>
        <v>0.02615925477007562</v>
      </c>
    </row>
    <row r="36" ht="15">
      <c r="A36" t="s">
        <v>618</v>
      </c>
    </row>
    <row r="37" ht="15">
      <c r="A37" t="s">
        <v>210</v>
      </c>
    </row>
    <row r="38" ht="15">
      <c r="A38" t="s">
        <v>211</v>
      </c>
    </row>
    <row r="39" ht="15">
      <c r="A39" t="s">
        <v>212</v>
      </c>
    </row>
    <row r="41" ht="15">
      <c r="A41" t="s">
        <v>213</v>
      </c>
    </row>
    <row r="42" ht="15">
      <c r="A42" t="s">
        <v>214</v>
      </c>
    </row>
    <row r="43" ht="15">
      <c r="A43" t="s">
        <v>215</v>
      </c>
    </row>
    <row r="44" ht="15">
      <c r="A44" t="s">
        <v>216</v>
      </c>
    </row>
    <row r="45" ht="15">
      <c r="A45" t="s">
        <v>217</v>
      </c>
    </row>
    <row r="46" ht="15">
      <c r="A46" t="s">
        <v>218</v>
      </c>
    </row>
    <row r="47" ht="15">
      <c r="A47" t="s">
        <v>219</v>
      </c>
    </row>
    <row r="49" ht="15">
      <c r="A49" t="s">
        <v>619</v>
      </c>
    </row>
    <row r="50" ht="15">
      <c r="A50" t="s">
        <v>620</v>
      </c>
    </row>
    <row r="51" ht="15">
      <c r="A51" t="s">
        <v>621</v>
      </c>
    </row>
    <row r="52" ht="15">
      <c r="A52" t="s">
        <v>622</v>
      </c>
    </row>
    <row r="53" ht="15">
      <c r="A53" t="s">
        <v>623</v>
      </c>
    </row>
    <row r="54" ht="15">
      <c r="A54" t="s">
        <v>624</v>
      </c>
    </row>
    <row r="55" ht="15">
      <c r="A55" t="s">
        <v>625</v>
      </c>
    </row>
  </sheetData>
  <mergeCells count="6">
    <mergeCell ref="A1:L1"/>
    <mergeCell ref="A4:A5"/>
    <mergeCell ref="H3:I3"/>
    <mergeCell ref="K3:L3"/>
    <mergeCell ref="F3:G3"/>
    <mergeCell ref="A2:L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topLeftCell="A1">
      <selection activeCell="G19" sqref="G18:G19"/>
    </sheetView>
  </sheetViews>
  <sheetFormatPr defaultColWidth="9.140625" defaultRowHeight="15"/>
  <cols>
    <col min="1" max="1" width="23.00390625" style="0" customWidth="1"/>
    <col min="2" max="2" width="19.57421875" style="0" customWidth="1"/>
    <col min="3" max="3" width="22.8515625" style="0" customWidth="1"/>
    <col min="4" max="4" width="25.7109375" style="0" customWidth="1"/>
  </cols>
  <sheetData>
    <row r="2" spans="1:4" ht="15">
      <c r="A2" s="261" t="s">
        <v>273</v>
      </c>
      <c r="B2" s="261"/>
      <c r="C2" s="261"/>
      <c r="D2" s="261"/>
    </row>
    <row r="3" spans="1:4" ht="15">
      <c r="A3" s="8" t="s">
        <v>0</v>
      </c>
      <c r="B3" s="8" t="s">
        <v>1</v>
      </c>
      <c r="C3" s="8" t="s">
        <v>2</v>
      </c>
      <c r="D3" s="8" t="s">
        <v>3</v>
      </c>
    </row>
    <row r="4" spans="1:4" ht="28.8">
      <c r="A4" s="7" t="s">
        <v>29</v>
      </c>
      <c r="B4" s="7" t="s">
        <v>32</v>
      </c>
      <c r="C4" s="7" t="s">
        <v>33</v>
      </c>
      <c r="D4" s="7" t="s">
        <v>28</v>
      </c>
    </row>
    <row r="5" spans="1:4" ht="57.6">
      <c r="A5" s="7" t="s">
        <v>30</v>
      </c>
      <c r="B5" s="7" t="s">
        <v>34</v>
      </c>
      <c r="C5" s="7"/>
      <c r="D5" s="7"/>
    </row>
    <row r="6" spans="1:4" ht="57.6">
      <c r="A6" s="7" t="s">
        <v>31</v>
      </c>
      <c r="B6" s="7" t="s">
        <v>35</v>
      </c>
      <c r="C6" s="7"/>
      <c r="D6" s="7"/>
    </row>
    <row r="8" ht="28.8">
      <c r="A8" s="9" t="s">
        <v>36</v>
      </c>
    </row>
  </sheetData>
  <mergeCells count="1">
    <mergeCell ref="A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topLeftCell="A1">
      <selection activeCell="N14" sqref="N14"/>
    </sheetView>
  </sheetViews>
  <sheetFormatPr defaultColWidth="9.140625" defaultRowHeight="15"/>
  <cols>
    <col min="2" max="2" width="29.8515625" style="0" customWidth="1"/>
    <col min="3" max="3" width="9.7109375" style="0" customWidth="1"/>
    <col min="4" max="4" width="13.7109375" style="0" customWidth="1"/>
    <col min="5" max="5" width="4.140625" style="0" customWidth="1"/>
    <col min="7" max="7" width="3.7109375" style="0" customWidth="1"/>
    <col min="8" max="8" width="4.00390625" style="0" customWidth="1"/>
    <col min="10" max="10" width="2.421875" style="0" customWidth="1"/>
    <col min="11" max="11" width="4.28125" style="0" customWidth="1"/>
    <col min="12" max="12" width="12.8515625" style="0" customWidth="1"/>
  </cols>
  <sheetData>
    <row r="1" spans="2:12" ht="38.4" customHeight="1">
      <c r="B1" s="259" t="s">
        <v>248</v>
      </c>
      <c r="C1" s="259"/>
      <c r="D1" s="259"/>
      <c r="E1" s="259"/>
      <c r="F1" s="259"/>
      <c r="G1" s="259"/>
      <c r="H1" s="259"/>
      <c r="I1" s="259"/>
      <c r="J1" s="259"/>
      <c r="K1" s="259"/>
      <c r="L1" s="259"/>
    </row>
    <row r="2" spans="1:12" ht="43.2">
      <c r="A2" s="270"/>
      <c r="B2" s="6"/>
      <c r="C2" s="6"/>
      <c r="D2" s="224" t="s">
        <v>240</v>
      </c>
      <c r="E2" s="224" t="s">
        <v>241</v>
      </c>
      <c r="F2" s="225" t="s">
        <v>242</v>
      </c>
      <c r="G2" s="224" t="s">
        <v>241</v>
      </c>
      <c r="H2" s="224" t="s">
        <v>243</v>
      </c>
      <c r="I2" s="225" t="s">
        <v>244</v>
      </c>
      <c r="J2" s="224" t="s">
        <v>245</v>
      </c>
      <c r="K2" s="224" t="s">
        <v>229</v>
      </c>
      <c r="L2" s="225" t="s">
        <v>246</v>
      </c>
    </row>
    <row r="3" spans="1:12" ht="15">
      <c r="A3" s="270"/>
      <c r="B3" s="6" t="s">
        <v>237</v>
      </c>
      <c r="C3" s="6"/>
      <c r="D3" s="224" t="s">
        <v>131</v>
      </c>
      <c r="E3" s="224"/>
      <c r="F3" s="224" t="s">
        <v>247</v>
      </c>
      <c r="G3" s="224"/>
      <c r="H3" s="226"/>
      <c r="I3" s="224" t="s">
        <v>247</v>
      </c>
      <c r="J3" s="224"/>
      <c r="K3" s="224"/>
      <c r="L3" s="224" t="s">
        <v>131</v>
      </c>
    </row>
    <row r="4" spans="1:12" ht="15">
      <c r="A4" s="270"/>
      <c r="B4" s="6"/>
      <c r="C4" s="6" t="s">
        <v>238</v>
      </c>
      <c r="D4" s="15"/>
      <c r="E4" s="15"/>
      <c r="F4" s="224">
        <v>3</v>
      </c>
      <c r="G4" s="15"/>
      <c r="H4" s="15"/>
      <c r="I4" s="224">
        <v>3</v>
      </c>
      <c r="J4" s="15"/>
      <c r="K4" s="15"/>
      <c r="L4" s="15"/>
    </row>
    <row r="5" spans="1:12" ht="15">
      <c r="A5" s="270"/>
      <c r="B5" s="6" t="s">
        <v>230</v>
      </c>
      <c r="C5" s="195">
        <v>8</v>
      </c>
      <c r="D5" s="227">
        <f>'Table 8'!L32</f>
        <v>0.0368896069129745</v>
      </c>
      <c r="E5" s="6"/>
      <c r="F5" s="228">
        <v>1</v>
      </c>
      <c r="G5" s="6"/>
      <c r="H5" s="6"/>
      <c r="I5" s="228">
        <f>'Table 5'!$B$10</f>
        <v>0.0979802039889668</v>
      </c>
      <c r="J5" s="6"/>
      <c r="K5" s="6"/>
      <c r="L5" s="74">
        <f>D5*F5*(1+I5)</f>
        <v>0.04050405812338054</v>
      </c>
    </row>
    <row r="6" spans="1:12" ht="15">
      <c r="A6" s="270"/>
      <c r="B6" s="6" t="s">
        <v>231</v>
      </c>
      <c r="C6" s="195">
        <v>9</v>
      </c>
      <c r="D6" s="229">
        <f>'Table 9'!H31</f>
        <v>0.0016165870462548264</v>
      </c>
      <c r="E6" s="6"/>
      <c r="F6" s="228">
        <f>'Table 5'!$B$8</f>
        <v>0.48559582668407</v>
      </c>
      <c r="G6" s="6"/>
      <c r="H6" s="6"/>
      <c r="I6" s="228">
        <f>'Table 5'!$B$12</f>
        <v>0.107502434610224</v>
      </c>
      <c r="J6" s="230"/>
      <c r="K6" s="6"/>
      <c r="L6" s="74">
        <f aca="true" t="shared" si="0" ref="L6:L12">D6*F6*(1+I6)</f>
        <v>0.0008693981860579705</v>
      </c>
    </row>
    <row r="7" spans="1:12" ht="15">
      <c r="A7" s="270"/>
      <c r="B7" s="6" t="s">
        <v>232</v>
      </c>
      <c r="C7" s="195">
        <v>10</v>
      </c>
      <c r="D7" s="227">
        <f>'Table 10'!E34</f>
        <v>0.0015701864032859967</v>
      </c>
      <c r="E7" s="23"/>
      <c r="F7" s="252">
        <v>1</v>
      </c>
      <c r="G7" s="23"/>
      <c r="H7" s="23"/>
      <c r="I7" s="252">
        <f>'Table 5'!$B$10</f>
        <v>0.0979802039889668</v>
      </c>
      <c r="J7" s="23"/>
      <c r="K7" s="23"/>
      <c r="L7" s="153">
        <f t="shared" si="0"/>
        <v>0.0017240335873806606</v>
      </c>
    </row>
    <row r="8" spans="1:12" ht="15">
      <c r="A8" s="270"/>
      <c r="B8" s="6" t="s">
        <v>233</v>
      </c>
      <c r="C8" s="195">
        <v>11</v>
      </c>
      <c r="D8" s="229">
        <f>'Table 11'!I35</f>
        <v>0.044120814174059185</v>
      </c>
      <c r="E8" s="6"/>
      <c r="F8" s="228">
        <f>'Table 5'!$B$8</f>
        <v>0.48559582668407</v>
      </c>
      <c r="G8" s="6"/>
      <c r="H8" s="6"/>
      <c r="I8" s="228">
        <f>'Table 5'!$B$12</f>
        <v>0.107502434610224</v>
      </c>
      <c r="J8" s="6"/>
      <c r="K8" s="6"/>
      <c r="L8" s="74">
        <f t="shared" si="0"/>
        <v>0.02372811034159512</v>
      </c>
    </row>
    <row r="9" spans="1:12" ht="15">
      <c r="A9" s="270"/>
      <c r="B9" s="6" t="s">
        <v>7</v>
      </c>
      <c r="C9" s="195">
        <v>12</v>
      </c>
      <c r="D9" s="229">
        <f>'Table 12'!K34</f>
        <v>0.0032208194347063193</v>
      </c>
      <c r="E9" s="6"/>
      <c r="F9" s="228">
        <f>'Table 5'!$B$8</f>
        <v>0.48559582668407</v>
      </c>
      <c r="G9" s="6"/>
      <c r="H9" s="6"/>
      <c r="I9" s="228">
        <f>'Table 5'!$B$12</f>
        <v>0.107502434610224</v>
      </c>
      <c r="J9" s="6"/>
      <c r="K9" s="6"/>
      <c r="L9" s="74">
        <f t="shared" si="0"/>
        <v>0.001732152054936443</v>
      </c>
    </row>
    <row r="10" spans="1:12" ht="15">
      <c r="A10" s="270"/>
      <c r="B10" s="6" t="s">
        <v>8</v>
      </c>
      <c r="C10" s="195">
        <v>13</v>
      </c>
      <c r="D10" s="227">
        <f>'Table 13'!H34</f>
        <v>0.028047261271170635</v>
      </c>
      <c r="E10" s="6"/>
      <c r="F10" s="228">
        <f>'Table 5'!$B$8</f>
        <v>0.48559582668407</v>
      </c>
      <c r="G10" s="6"/>
      <c r="H10" s="6"/>
      <c r="I10" s="228">
        <f>'Table 5'!$B$12</f>
        <v>0.107502434610224</v>
      </c>
      <c r="J10" s="6"/>
      <c r="K10" s="6"/>
      <c r="L10" s="74">
        <f t="shared" si="0"/>
        <v>0.015083776731689817</v>
      </c>
    </row>
    <row r="11" spans="1:12" ht="15">
      <c r="A11" s="270"/>
      <c r="B11" s="6" t="s">
        <v>234</v>
      </c>
      <c r="C11" s="195">
        <v>15</v>
      </c>
      <c r="D11" s="227">
        <f>'Table 15'!N35</f>
        <v>0.01521397975254729</v>
      </c>
      <c r="E11" s="23"/>
      <c r="F11" s="252">
        <f>'Table 5'!B9</f>
        <v>0.552220210632877</v>
      </c>
      <c r="G11" s="23"/>
      <c r="H11" s="23"/>
      <c r="I11" s="252">
        <f>'Table 5'!B11</f>
        <v>0.13182649151091286</v>
      </c>
      <c r="J11" s="23"/>
      <c r="K11" s="23"/>
      <c r="L11" s="153">
        <f t="shared" si="0"/>
        <v>0.009509003035316854</v>
      </c>
    </row>
    <row r="12" spans="1:12" ht="15">
      <c r="A12" s="270"/>
      <c r="B12" s="6" t="s">
        <v>10</v>
      </c>
      <c r="C12" s="195">
        <v>17</v>
      </c>
      <c r="D12" s="227">
        <f>'Table 17'!H34</f>
        <v>0.02615925477007562</v>
      </c>
      <c r="E12" s="23"/>
      <c r="F12" s="252">
        <v>1</v>
      </c>
      <c r="G12" s="23"/>
      <c r="H12" s="23"/>
      <c r="I12" s="252">
        <f>'Table 5'!$B$10</f>
        <v>0.0979802039889668</v>
      </c>
      <c r="J12" s="23"/>
      <c r="K12" s="23"/>
      <c r="L12" s="153">
        <f t="shared" si="0"/>
        <v>0.028722343888646983</v>
      </c>
    </row>
    <row r="13" spans="1:12" ht="15">
      <c r="A13" s="270"/>
      <c r="B13" s="6" t="s">
        <v>235</v>
      </c>
      <c r="C13" s="6"/>
      <c r="D13" s="6"/>
      <c r="E13" s="6"/>
      <c r="F13" s="6"/>
      <c r="G13" s="6"/>
      <c r="H13" s="6"/>
      <c r="I13" s="6"/>
      <c r="J13" s="6"/>
      <c r="K13" s="6"/>
      <c r="L13" s="6"/>
    </row>
    <row r="14" spans="1:12" ht="15">
      <c r="A14" s="270"/>
      <c r="B14" s="6" t="s">
        <v>236</v>
      </c>
      <c r="C14" s="6"/>
      <c r="D14" s="6"/>
      <c r="E14" s="6"/>
      <c r="F14" s="6"/>
      <c r="G14" s="6"/>
      <c r="H14" s="6"/>
      <c r="I14" s="6"/>
      <c r="J14" s="6"/>
      <c r="K14" s="6"/>
      <c r="L14" s="6"/>
    </row>
    <row r="15" ht="15" thickBot="1">
      <c r="A15" s="269"/>
    </row>
    <row r="16" spans="1:12" ht="15" thickBot="1">
      <c r="A16" s="269"/>
      <c r="I16" s="222" t="s">
        <v>687</v>
      </c>
      <c r="J16" s="223"/>
      <c r="K16" s="223"/>
      <c r="L16" s="231">
        <f>SUM(L5:L14)</f>
        <v>0.12187287594900438</v>
      </c>
    </row>
    <row r="18" ht="15">
      <c r="A18" t="s">
        <v>627</v>
      </c>
    </row>
    <row r="19" ht="15">
      <c r="A19" t="s">
        <v>628</v>
      </c>
    </row>
    <row r="20" ht="15">
      <c r="A20" t="s">
        <v>629</v>
      </c>
    </row>
    <row r="21" ht="15">
      <c r="A21" t="s">
        <v>630</v>
      </c>
    </row>
    <row r="22" ht="15">
      <c r="A22" t="s">
        <v>631</v>
      </c>
    </row>
    <row r="23" ht="15">
      <c r="A23" t="s">
        <v>632</v>
      </c>
    </row>
    <row r="25" ht="15">
      <c r="A25" t="s">
        <v>633</v>
      </c>
    </row>
    <row r="26" ht="15">
      <c r="A26" t="s">
        <v>634</v>
      </c>
    </row>
    <row r="27" ht="15">
      <c r="A27" t="s">
        <v>635</v>
      </c>
    </row>
    <row r="28" ht="15">
      <c r="A28" t="s">
        <v>636</v>
      </c>
    </row>
    <row r="29" ht="15">
      <c r="A29" t="s">
        <v>637</v>
      </c>
    </row>
    <row r="31" ht="15">
      <c r="A31" t="s">
        <v>638</v>
      </c>
    </row>
    <row r="32" ht="15">
      <c r="A32" t="s">
        <v>639</v>
      </c>
    </row>
    <row r="33" ht="15">
      <c r="A33" t="s">
        <v>640</v>
      </c>
    </row>
    <row r="34" ht="15">
      <c r="A34" t="s">
        <v>641</v>
      </c>
    </row>
  </sheetData>
  <mergeCells count="1">
    <mergeCell ref="B1:L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workbookViewId="0" topLeftCell="A1">
      <selection activeCell="K1" sqref="K1"/>
    </sheetView>
  </sheetViews>
  <sheetFormatPr defaultColWidth="9.140625" defaultRowHeight="15"/>
  <cols>
    <col min="4" max="4" width="13.7109375" style="0" customWidth="1"/>
    <col min="5" max="5" width="10.7109375" style="0" customWidth="1"/>
    <col min="6" max="6" width="10.28125" style="0" customWidth="1"/>
    <col min="8" max="8" width="13.00390625" style="0" customWidth="1"/>
    <col min="9" max="9" width="12.7109375" style="0" customWidth="1"/>
  </cols>
  <sheetData>
    <row r="1" spans="1:10" ht="15">
      <c r="A1" s="260"/>
      <c r="B1" s="260"/>
      <c r="C1" s="260"/>
      <c r="D1" s="260"/>
      <c r="E1" s="260"/>
      <c r="F1" s="260"/>
      <c r="G1" s="260"/>
      <c r="H1" s="260"/>
      <c r="I1" s="260"/>
      <c r="J1" s="260"/>
    </row>
    <row r="2" spans="1:10" ht="15">
      <c r="A2" s="261" t="s">
        <v>657</v>
      </c>
      <c r="B2" s="261"/>
      <c r="C2" s="261"/>
      <c r="D2" s="261"/>
      <c r="E2" s="261"/>
      <c r="F2" s="261"/>
      <c r="G2" s="261"/>
      <c r="H2" s="261"/>
      <c r="I2" s="261"/>
      <c r="J2" s="261"/>
    </row>
    <row r="3" spans="1:24" ht="28.8">
      <c r="A3" s="262" t="s">
        <v>39</v>
      </c>
      <c r="B3" s="37" t="s">
        <v>134</v>
      </c>
      <c r="C3" s="37" t="s">
        <v>140</v>
      </c>
      <c r="D3" s="37" t="s">
        <v>642</v>
      </c>
      <c r="E3" s="37" t="s">
        <v>643</v>
      </c>
      <c r="F3" s="37" t="s">
        <v>644</v>
      </c>
      <c r="G3" s="37" t="s">
        <v>645</v>
      </c>
      <c r="H3" s="37" t="s">
        <v>659</v>
      </c>
      <c r="I3" s="37" t="s">
        <v>644</v>
      </c>
      <c r="J3" s="37" t="s">
        <v>645</v>
      </c>
      <c r="K3" s="33"/>
      <c r="L3" s="33"/>
      <c r="M3" s="33"/>
      <c r="N3" s="33"/>
      <c r="O3" s="33"/>
      <c r="P3" s="33"/>
      <c r="Q3" s="33"/>
      <c r="R3" s="33"/>
      <c r="S3" s="33"/>
      <c r="T3" s="33"/>
      <c r="U3" s="172"/>
      <c r="V3" s="172"/>
      <c r="W3" s="172"/>
      <c r="X3" s="172"/>
    </row>
    <row r="4" spans="1:10" ht="15">
      <c r="A4" s="262"/>
      <c r="B4" s="36"/>
      <c r="C4" s="36"/>
      <c r="D4" s="36" t="s">
        <v>132</v>
      </c>
      <c r="E4" s="36"/>
      <c r="F4" s="36" t="s">
        <v>646</v>
      </c>
      <c r="G4" s="36" t="s">
        <v>133</v>
      </c>
      <c r="H4" s="36"/>
      <c r="I4" s="36" t="s">
        <v>648</v>
      </c>
      <c r="J4" s="36" t="s">
        <v>647</v>
      </c>
    </row>
    <row r="5" spans="1:12" ht="15">
      <c r="A5" s="34">
        <v>2014</v>
      </c>
      <c r="B5" s="34">
        <v>0</v>
      </c>
      <c r="C5" s="19">
        <v>1</v>
      </c>
      <c r="D5" s="77">
        <f>'Table 5'!B15</f>
        <v>1451.69467371372</v>
      </c>
      <c r="E5" s="202">
        <v>1</v>
      </c>
      <c r="F5" s="55">
        <f>'Figure 3'!$L$16</f>
        <v>0.12187287594900438</v>
      </c>
      <c r="G5" s="120">
        <f>C5*F5*D5</f>
        <v>176.92220488534258</v>
      </c>
      <c r="H5" s="113">
        <f>E5*D5*C5</f>
        <v>1451.69467371372</v>
      </c>
      <c r="I5" s="213">
        <f>G30/H30</f>
        <v>0.0948151731708422</v>
      </c>
      <c r="J5" s="120">
        <f>D5*I5</f>
        <v>137.64268187935562</v>
      </c>
      <c r="L5" s="104">
        <f>F5/E5</f>
        <v>0.12187287594900438</v>
      </c>
    </row>
    <row r="6" spans="1:14" ht="15">
      <c r="A6" s="32">
        <v>2015</v>
      </c>
      <c r="B6" s="32">
        <v>1</v>
      </c>
      <c r="C6" s="19">
        <f>1/(1+'Table 5'!$B$5)^B6</f>
        <v>0.9388789784996715</v>
      </c>
      <c r="D6" s="77">
        <f>D5-(D5*'Table 3'!$B$22)</f>
        <v>1444.4362003451515</v>
      </c>
      <c r="E6" s="202">
        <f>E5+(E5*'Table 3'!$F$10)</f>
        <v>1.0275</v>
      </c>
      <c r="F6" s="55">
        <f>'Figure 3'!$L$16</f>
        <v>0.12187287594900438</v>
      </c>
      <c r="G6" s="120">
        <f aca="true" t="shared" si="0" ref="G6:G29">C6*F6*D6</f>
        <v>165.27799630167675</v>
      </c>
      <c r="H6" s="113">
        <f aca="true" t="shared" si="1" ref="H6:H29">E6*D6*C6</f>
        <v>1393.4449308559228</v>
      </c>
      <c r="I6" s="213">
        <f>I5+(I5*0.0253)</f>
        <v>0.09721399705206452</v>
      </c>
      <c r="J6" s="120">
        <f>C6*D6*I6</f>
        <v>131.8368383459289</v>
      </c>
      <c r="N6" t="s">
        <v>655</v>
      </c>
    </row>
    <row r="7" spans="1:10" ht="15">
      <c r="A7" s="32">
        <v>2016</v>
      </c>
      <c r="B7" s="32">
        <v>2</v>
      </c>
      <c r="C7" s="196">
        <f>1/(1+'Table 5'!$B$5)^B7</f>
        <v>0.8814937362685866</v>
      </c>
      <c r="D7" s="205">
        <f>D6-(D6*'Table 3'!$B$22)</f>
        <v>1437.2140193434257</v>
      </c>
      <c r="E7" s="202">
        <f>E6+(E6*'Table 3'!$F$10)</f>
        <v>1.0557562500000002</v>
      </c>
      <c r="F7" s="55">
        <f>'Figure 3'!$L$16</f>
        <v>0.12187287594900438</v>
      </c>
      <c r="G7" s="120">
        <f t="shared" si="0"/>
        <v>154.4001561545098</v>
      </c>
      <c r="H7" s="113">
        <f t="shared" si="1"/>
        <v>1337.5324787552236</v>
      </c>
      <c r="I7" s="213">
        <f aca="true" t="shared" si="2" ref="I7:I29">I6+(I6*0.0253)</f>
        <v>0.09967351117748174</v>
      </c>
      <c r="J7" s="120">
        <f aca="true" t="shared" si="3" ref="J7:J29">C7*D7*I7</f>
        <v>126.27588846521499</v>
      </c>
    </row>
    <row r="8" spans="1:10" ht="15">
      <c r="A8" s="32">
        <v>2017</v>
      </c>
      <c r="B8" s="32">
        <v>3</v>
      </c>
      <c r="C8" s="196">
        <f>1/(1+'Table 5'!$B$5)^B8</f>
        <v>0.8276159386617093</v>
      </c>
      <c r="D8" s="205">
        <f>D7-(D7*'Table 3'!$B$22)</f>
        <v>1430.0279492467084</v>
      </c>
      <c r="E8" s="202">
        <f>E7+(E7*'Table 3'!$F$10)</f>
        <v>1.0847895468750002</v>
      </c>
      <c r="F8" s="55">
        <f>'Figure 3'!$L$16</f>
        <v>0.12187287594900438</v>
      </c>
      <c r="G8" s="120">
        <f t="shared" si="0"/>
        <v>144.2382455860832</v>
      </c>
      <c r="H8" s="113">
        <f t="shared" si="1"/>
        <v>1283.8635328245116</v>
      </c>
      <c r="I8" s="213">
        <f t="shared" si="2"/>
        <v>0.10219525101027203</v>
      </c>
      <c r="J8" s="120">
        <f t="shared" si="3"/>
        <v>120.94950248912589</v>
      </c>
    </row>
    <row r="9" spans="1:10" ht="15">
      <c r="A9" s="32">
        <v>2018</v>
      </c>
      <c r="B9" s="32">
        <v>4</v>
      </c>
      <c r="C9" s="196">
        <f>1/(1+'Table 5'!$B$5)^B9</f>
        <v>0.7770312070807525</v>
      </c>
      <c r="D9" s="205">
        <f>D8-(D8*'Table 3'!$B$22)</f>
        <v>1422.877809500475</v>
      </c>
      <c r="E9" s="202">
        <f>E8+(E8*'Table 3'!$F$10)</f>
        <v>1.1146212594140628</v>
      </c>
      <c r="F9" s="55">
        <f>'Figure 3'!$L$16</f>
        <v>0.12187287594900438</v>
      </c>
      <c r="G9" s="120">
        <f t="shared" si="0"/>
        <v>134.74514539306435</v>
      </c>
      <c r="H9" s="113">
        <f t="shared" si="1"/>
        <v>1232.3480716151535</v>
      </c>
      <c r="I9" s="213">
        <f t="shared" si="2"/>
        <v>0.10478079086083192</v>
      </c>
      <c r="J9" s="120">
        <f t="shared" si="3"/>
        <v>115.8477863839924</v>
      </c>
    </row>
    <row r="10" spans="1:10" ht="15">
      <c r="A10" s="32">
        <v>2019</v>
      </c>
      <c r="B10" s="32">
        <v>5</v>
      </c>
      <c r="C10" s="196">
        <f>1/(1+'Table 5'!$B$5)^B10</f>
        <v>0.7295382659663435</v>
      </c>
      <c r="D10" s="205">
        <f>D9-(D9*'Table 3'!$B$22)</f>
        <v>1415.7634204529727</v>
      </c>
      <c r="E10" s="202">
        <f>E9+(E9*'Table 3'!$F$10)</f>
        <v>1.1452733440479494</v>
      </c>
      <c r="F10" s="55">
        <f>'Figure 3'!$L$16</f>
        <v>0.12187287594900438</v>
      </c>
      <c r="G10" s="120">
        <f t="shared" si="0"/>
        <v>125.87683754210781</v>
      </c>
      <c r="H10" s="113">
        <f t="shared" si="1"/>
        <v>1182.8996858197797</v>
      </c>
      <c r="I10" s="213">
        <f t="shared" si="2"/>
        <v>0.10743174486961096</v>
      </c>
      <c r="J10" s="120">
        <f t="shared" si="3"/>
        <v>110.96126345189171</v>
      </c>
    </row>
    <row r="11" spans="1:10" ht="15">
      <c r="A11" s="32">
        <v>2020</v>
      </c>
      <c r="B11" s="32">
        <v>6</v>
      </c>
      <c r="C11" s="196">
        <f>1/(1+'Table 5'!$B$5)^B11</f>
        <v>0.6849481419269022</v>
      </c>
      <c r="D11" s="205">
        <f>D10-(D10*'Table 3'!$B$22)</f>
        <v>1408.684603350708</v>
      </c>
      <c r="E11" s="202">
        <f>E10+(E10*'Table 3'!$F$10)</f>
        <v>1.176768361009268</v>
      </c>
      <c r="F11" s="55">
        <f>'Figure 3'!$L$16</f>
        <v>0.12187287594900438</v>
      </c>
      <c r="G11" s="120">
        <f t="shared" si="0"/>
        <v>117.59220106506177</v>
      </c>
      <c r="H11" s="113">
        <f t="shared" si="1"/>
        <v>1135.4354333338886</v>
      </c>
      <c r="I11" s="213">
        <f t="shared" si="2"/>
        <v>0.11014976801481212</v>
      </c>
      <c r="J11" s="120">
        <f t="shared" si="3"/>
        <v>106.28085672719789</v>
      </c>
    </row>
    <row r="12" spans="1:10" ht="15">
      <c r="A12" s="32">
        <v>2021</v>
      </c>
      <c r="B12" s="32">
        <v>7</v>
      </c>
      <c r="C12" s="196">
        <f>1/(1+'Table 5'!$B$5)^B12</f>
        <v>0.643083411817578</v>
      </c>
      <c r="D12" s="205">
        <f>D11-(D11*'Table 3'!$B$22)</f>
        <v>1401.6411803339543</v>
      </c>
      <c r="E12" s="202">
        <f>E11+(E11*'Table 3'!$F$10)</f>
        <v>1.209129490937023</v>
      </c>
      <c r="F12" s="55">
        <f>'Figure 3'!$L$16</f>
        <v>0.12187287594900438</v>
      </c>
      <c r="G12" s="120">
        <f t="shared" si="0"/>
        <v>109.85282138741569</v>
      </c>
      <c r="H12" s="113">
        <f t="shared" si="1"/>
        <v>1089.8757001331496</v>
      </c>
      <c r="I12" s="213">
        <f t="shared" si="2"/>
        <v>0.11293655714558687</v>
      </c>
      <c r="J12" s="120">
        <f t="shared" si="3"/>
        <v>101.7978721156549</v>
      </c>
    </row>
    <row r="13" spans="1:10" ht="15">
      <c r="A13" s="32">
        <v>2022</v>
      </c>
      <c r="B13" s="32">
        <v>8</v>
      </c>
      <c r="C13" s="196">
        <f>1/(1+'Table 5'!$B$5)^B13</f>
        <v>0.6037774967773711</v>
      </c>
      <c r="D13" s="205">
        <f>D12-(D12*'Table 3'!$B$22)</f>
        <v>1394.6329744322845</v>
      </c>
      <c r="E13" s="202">
        <f>E12+(E12*'Table 3'!$F$10)</f>
        <v>1.242380551937791</v>
      </c>
      <c r="F13" s="55">
        <f>'Figure 3'!$L$16</f>
        <v>0.12187287594900438</v>
      </c>
      <c r="G13" s="120">
        <f t="shared" si="0"/>
        <v>102.62281220587609</v>
      </c>
      <c r="H13" s="113">
        <f t="shared" si="1"/>
        <v>1046.1440667330553</v>
      </c>
      <c r="I13" s="213">
        <f t="shared" si="2"/>
        <v>0.11579385204137022</v>
      </c>
      <c r="J13" s="120">
        <f t="shared" si="3"/>
        <v>97.50398224465313</v>
      </c>
    </row>
    <row r="14" spans="1:10" ht="15">
      <c r="A14" s="32">
        <v>2023</v>
      </c>
      <c r="B14" s="32">
        <v>9</v>
      </c>
      <c r="C14" s="196">
        <f>1/(1+'Table 5'!$B$5)^B14</f>
        <v>0.5668739994154269</v>
      </c>
      <c r="D14" s="205">
        <f>D13-(D13*'Table 3'!$B$22)</f>
        <v>1387.659809560123</v>
      </c>
      <c r="E14" s="202">
        <f>E13+(E13*'Table 3'!$F$10)</f>
        <v>1.2765460171160803</v>
      </c>
      <c r="F14" s="55">
        <f>'Figure 3'!$L$16</f>
        <v>0.12187287594900438</v>
      </c>
      <c r="G14" s="120">
        <f t="shared" si="0"/>
        <v>95.86864908914347</v>
      </c>
      <c r="H14" s="113">
        <f t="shared" si="1"/>
        <v>1004.1671800069226</v>
      </c>
      <c r="I14" s="213">
        <f t="shared" si="2"/>
        <v>0.11872343649801688</v>
      </c>
      <c r="J14" s="120">
        <f t="shared" si="3"/>
        <v>93.39121099471002</v>
      </c>
    </row>
    <row r="15" spans="1:10" ht="15">
      <c r="A15" s="32">
        <v>2024</v>
      </c>
      <c r="B15" s="32">
        <v>10</v>
      </c>
      <c r="C15" s="196">
        <f>1/(1+'Table 5'!$B$5)^B15</f>
        <v>0.5322260815091794</v>
      </c>
      <c r="D15" s="205">
        <f>D14-(D14*'Table 3'!$B$22)</f>
        <v>1380.7215105123223</v>
      </c>
      <c r="E15" s="202">
        <f>E14+(E14*'Table 3'!$F$10)</f>
        <v>1.3116510325867725</v>
      </c>
      <c r="F15" s="55">
        <f>'Figure 3'!$L$16</f>
        <v>0.12187287594900438</v>
      </c>
      <c r="G15" s="120">
        <f t="shared" si="0"/>
        <v>89.55901403032368</v>
      </c>
      <c r="H15" s="113">
        <f t="shared" si="1"/>
        <v>963.8746301472421</v>
      </c>
      <c r="I15" s="213">
        <f t="shared" si="2"/>
        <v>0.1217271394414167</v>
      </c>
      <c r="J15" s="120">
        <f t="shared" si="3"/>
        <v>89.4519186834211</v>
      </c>
    </row>
    <row r="16" spans="1:10" ht="15">
      <c r="A16" s="32">
        <v>2025</v>
      </c>
      <c r="B16" s="32">
        <v>11</v>
      </c>
      <c r="C16" s="196">
        <f>1/(1+'Table 5'!$B$5)^B16</f>
        <v>0.49969587973822116</v>
      </c>
      <c r="D16" s="205">
        <f>D15-(D15*'Table 3'!$B$22)</f>
        <v>1373.8179029597607</v>
      </c>
      <c r="E16" s="202">
        <f>E15+(E15*'Table 3'!$F$10)</f>
        <v>1.3477214359829088</v>
      </c>
      <c r="F16" s="55">
        <f>'Figure 3'!$L$16</f>
        <v>0.12187287594900438</v>
      </c>
      <c r="G16" s="120">
        <f t="shared" si="0"/>
        <v>83.6646502301869</v>
      </c>
      <c r="H16" s="113">
        <f t="shared" si="1"/>
        <v>925.1988325639938</v>
      </c>
      <c r="I16" s="213">
        <f t="shared" si="2"/>
        <v>0.12480683606928455</v>
      </c>
      <c r="J16" s="120">
        <f t="shared" si="3"/>
        <v>85.67878787436024</v>
      </c>
    </row>
    <row r="17" spans="1:10" ht="15">
      <c r="A17" s="32">
        <v>2026</v>
      </c>
      <c r="B17" s="32">
        <v>12</v>
      </c>
      <c r="C17" s="196">
        <f>1/(1+'Table 5'!$B$5)^B17</f>
        <v>0.46915395712911584</v>
      </c>
      <c r="D17" s="205">
        <f>D16-(D16*'Table 3'!$B$22)</f>
        <v>1366.9488134449618</v>
      </c>
      <c r="E17" s="202">
        <f>E16+(E16*'Table 3'!$F$10)</f>
        <v>1.3847837754724388</v>
      </c>
      <c r="F17" s="55">
        <f>'Figure 3'!$L$16</f>
        <v>0.12187287594900438</v>
      </c>
      <c r="G17" s="120">
        <f t="shared" si="0"/>
        <v>78.15822643792694</v>
      </c>
      <c r="H17" s="113">
        <f t="shared" si="1"/>
        <v>888.0749145218349</v>
      </c>
      <c r="I17" s="213">
        <f t="shared" si="2"/>
        <v>0.12796444902183746</v>
      </c>
      <c r="J17" s="120">
        <f t="shared" si="3"/>
        <v>82.06480978456827</v>
      </c>
    </row>
    <row r="18" spans="1:10" ht="15">
      <c r="A18" s="32">
        <v>2027</v>
      </c>
      <c r="B18" s="32">
        <v>13</v>
      </c>
      <c r="C18" s="196">
        <f>1/(1+'Table 5'!$B$5)^B18</f>
        <v>0.4404787880284629</v>
      </c>
      <c r="D18" s="205">
        <f>D17-(D17*'Table 3'!$B$22)</f>
        <v>1360.114069377737</v>
      </c>
      <c r="E18" s="202">
        <f>E17+(E17*'Table 3'!$F$10)</f>
        <v>1.422865329297931</v>
      </c>
      <c r="F18" s="55">
        <f>'Figure 3'!$L$16</f>
        <v>0.12187287594900438</v>
      </c>
      <c r="G18" s="120">
        <f t="shared" si="0"/>
        <v>73.01421022038991</v>
      </c>
      <c r="H18" s="113">
        <f t="shared" si="1"/>
        <v>852.4406063260064</v>
      </c>
      <c r="I18" s="213">
        <f t="shared" si="2"/>
        <v>0.13120194958208994</v>
      </c>
      <c r="J18" s="120">
        <f t="shared" si="3"/>
        <v>78.60327126538095</v>
      </c>
    </row>
    <row r="19" spans="1:10" ht="15">
      <c r="A19" s="32">
        <v>2028</v>
      </c>
      <c r="B19" s="32">
        <v>14</v>
      </c>
      <c r="C19" s="196">
        <f>1/(1+'Table 5'!$B$5)^B19</f>
        <v>0.41355627455493654</v>
      </c>
      <c r="D19" s="205">
        <f>D18-(D18*'Table 3'!$B$22)</f>
        <v>1353.3134990308483</v>
      </c>
      <c r="E19" s="202">
        <f>E18+(E18*'Table 3'!$F$10)</f>
        <v>1.461994125853624</v>
      </c>
      <c r="F19" s="55">
        <f>'Figure 3'!$L$16</f>
        <v>0.12187287594900438</v>
      </c>
      <c r="G19" s="120">
        <f t="shared" si="0"/>
        <v>68.20874957214156</v>
      </c>
      <c r="H19" s="113">
        <f t="shared" si="1"/>
        <v>818.2361368744453</v>
      </c>
      <c r="I19" s="213">
        <f t="shared" si="2"/>
        <v>0.1345213589065168</v>
      </c>
      <c r="J19" s="120">
        <f t="shared" si="3"/>
        <v>75.28774233241303</v>
      </c>
    </row>
    <row r="20" spans="1:10" ht="15">
      <c r="A20" s="32">
        <v>2029</v>
      </c>
      <c r="B20" s="32">
        <v>15</v>
      </c>
      <c r="C20" s="196">
        <f>1/(1+'Table 5'!$B$5)^B20</f>
        <v>0.3882792926062686</v>
      </c>
      <c r="D20" s="205">
        <f>D19-(D19*'Table 3'!$B$22)</f>
        <v>1346.546931535694</v>
      </c>
      <c r="E20" s="202">
        <f>E19+(E19*'Table 3'!$F$10)</f>
        <v>1.5021989643145985</v>
      </c>
      <c r="F20" s="55">
        <f>'Figure 3'!$L$16</f>
        <v>0.12187287594900438</v>
      </c>
      <c r="G20" s="120">
        <f t="shared" si="0"/>
        <v>63.719562317417015</v>
      </c>
      <c r="H20" s="113">
        <f t="shared" si="1"/>
        <v>785.4041334009016</v>
      </c>
      <c r="I20" s="213">
        <f t="shared" si="2"/>
        <v>0.1379247492868517</v>
      </c>
      <c r="J20" s="120">
        <f t="shared" si="3"/>
        <v>72.11206422153411</v>
      </c>
    </row>
    <row r="21" spans="1:10" ht="15">
      <c r="A21" s="32">
        <v>2030</v>
      </c>
      <c r="B21" s="32">
        <v>16</v>
      </c>
      <c r="C21" s="196">
        <f>1/(1+'Table 5'!$B$5)^B21</f>
        <v>0.36454726561474843</v>
      </c>
      <c r="D21" s="205">
        <f>D20-(D20*'Table 3'!$B$22)</f>
        <v>1339.8141968780155</v>
      </c>
      <c r="E21" s="202">
        <f>E20+(E20*'Table 3'!$F$10)</f>
        <v>1.54350943583325</v>
      </c>
      <c r="F21" s="55">
        <f>'Figure 3'!$L$16</f>
        <v>0.12187287594900438</v>
      </c>
      <c r="G21" s="120">
        <f t="shared" si="0"/>
        <v>59.52583279112752</v>
      </c>
      <c r="H21" s="113">
        <f t="shared" si="1"/>
        <v>753.8895252408968</v>
      </c>
      <c r="I21" s="213">
        <f t="shared" si="2"/>
        <v>0.14141424544380904</v>
      </c>
      <c r="J21" s="120">
        <f t="shared" si="3"/>
        <v>69.0703379486501</v>
      </c>
    </row>
    <row r="22" spans="1:10" ht="15">
      <c r="A22" s="32">
        <v>2031</v>
      </c>
      <c r="B22" s="32">
        <v>17</v>
      </c>
      <c r="C22" s="196">
        <f>1/(1+'Table 5'!$B$5)^B22</f>
        <v>0.34226576435522343</v>
      </c>
      <c r="D22" s="205">
        <f>D21-(D21*'Table 3'!$B$22)</f>
        <v>1333.1151258936254</v>
      </c>
      <c r="E22" s="202">
        <f>E21+(E21*'Table 3'!$F$10)</f>
        <v>1.5859559453186642</v>
      </c>
      <c r="F22" s="55">
        <f>'Figure 3'!$L$16</f>
        <v>0.12187287594900438</v>
      </c>
      <c r="G22" s="120">
        <f t="shared" si="0"/>
        <v>55.608115319849674</v>
      </c>
      <c r="H22" s="113">
        <f t="shared" si="1"/>
        <v>723.6394514591083</v>
      </c>
      <c r="I22" s="213">
        <f t="shared" si="2"/>
        <v>0.1449920258535374</v>
      </c>
      <c r="J22" s="120">
        <f t="shared" si="3"/>
        <v>66.15691335203944</v>
      </c>
    </row>
    <row r="23" spans="1:10" ht="15">
      <c r="A23" s="32">
        <v>2032</v>
      </c>
      <c r="B23" s="32">
        <v>18</v>
      </c>
      <c r="C23" s="196">
        <f>1/(1+'Table 5'!$B$5)^B23</f>
        <v>0.3213461312132414</v>
      </c>
      <c r="D23" s="205">
        <f>D22-(D22*'Table 3'!$B$22)</f>
        <v>1326.4495502641573</v>
      </c>
      <c r="E23" s="202">
        <f>E22+(E22*'Table 3'!$F$10)</f>
        <v>1.6295697338149275</v>
      </c>
      <c r="F23" s="55">
        <f>'Figure 3'!$L$16</f>
        <v>0.12187287594900438</v>
      </c>
      <c r="G23" s="120">
        <f t="shared" si="0"/>
        <v>51.948244055253426</v>
      </c>
      <c r="H23" s="113">
        <f t="shared" si="1"/>
        <v>694.603172183234</v>
      </c>
      <c r="I23" s="213">
        <f t="shared" si="2"/>
        <v>0.1486603241076319</v>
      </c>
      <c r="J23" s="120">
        <f t="shared" si="3"/>
        <v>63.36637859688931</v>
      </c>
    </row>
    <row r="24" spans="1:10" ht="15">
      <c r="A24" s="32">
        <v>2033</v>
      </c>
      <c r="B24" s="32">
        <v>19</v>
      </c>
      <c r="C24" s="196">
        <f>1/(1+'Table 5'!$B$5)^B24</f>
        <v>0.3017051274183095</v>
      </c>
      <c r="D24" s="205">
        <f>D23-(D23*'Table 3'!$B$22)</f>
        <v>1319.8173025128365</v>
      </c>
      <c r="E24" s="202">
        <f>E23+(E23*'Table 3'!$F$10)</f>
        <v>1.6743829014948381</v>
      </c>
      <c r="F24" s="55">
        <f>'Figure 3'!$L$16</f>
        <v>0.12187287594900438</v>
      </c>
      <c r="G24" s="120">
        <f t="shared" si="0"/>
        <v>48.529248741880735</v>
      </c>
      <c r="H24" s="113">
        <f t="shared" si="1"/>
        <v>666.7319834956172</v>
      </c>
      <c r="I24" s="213">
        <f t="shared" si="2"/>
        <v>0.152421430307555</v>
      </c>
      <c r="J24" s="120">
        <f t="shared" si="3"/>
        <v>60.69355012253654</v>
      </c>
    </row>
    <row r="25" spans="1:10" ht="15">
      <c r="A25" s="32">
        <v>2034</v>
      </c>
      <c r="B25" s="32">
        <v>20</v>
      </c>
      <c r="C25" s="196">
        <f>1/(1+'Table 5'!$B$5)^B25</f>
        <v>0.2832646018386156</v>
      </c>
      <c r="D25" s="205">
        <f>D24-(D24*'Table 3'!$B$22)</f>
        <v>1313.2182160002724</v>
      </c>
      <c r="E25" s="202">
        <f>E24+(E24*'Table 3'!$F$10)</f>
        <v>1.7204284312859461</v>
      </c>
      <c r="F25" s="55">
        <f>'Figure 3'!$L$16</f>
        <v>0.12187287594900438</v>
      </c>
      <c r="G25" s="120">
        <f t="shared" si="0"/>
        <v>45.33527602870278</v>
      </c>
      <c r="H25" s="113">
        <f t="shared" si="1"/>
        <v>639.9791357398722</v>
      </c>
      <c r="I25" s="213">
        <f t="shared" si="2"/>
        <v>0.15627769249433615</v>
      </c>
      <c r="J25" s="120">
        <f t="shared" si="3"/>
        <v>58.13346301373912</v>
      </c>
    </row>
    <row r="26" spans="1:10" ht="15">
      <c r="A26" s="32">
        <v>2035</v>
      </c>
      <c r="B26" s="32">
        <v>21</v>
      </c>
      <c r="C26" s="196">
        <f>1/(1+'Table 5'!$B$5)^B26</f>
        <v>0.2659511800193556</v>
      </c>
      <c r="D26" s="205">
        <f>D25-(D25*'Table 3'!$B$22)</f>
        <v>1306.652124920271</v>
      </c>
      <c r="E26" s="202">
        <f>E25+(E25*'Table 3'!$F$10)</f>
        <v>1.7677402131463096</v>
      </c>
      <c r="F26" s="55">
        <f>'Figure 3'!$L$16</f>
        <v>0.12187287594900438</v>
      </c>
      <c r="G26" s="120">
        <f t="shared" si="0"/>
        <v>42.35151595958996</v>
      </c>
      <c r="H26" s="113">
        <f t="shared" si="1"/>
        <v>614.2997551054879</v>
      </c>
      <c r="I26" s="213">
        <f t="shared" si="2"/>
        <v>0.16023151811444286</v>
      </c>
      <c r="J26" s="120">
        <f t="shared" si="3"/>
        <v>55.68136177809294</v>
      </c>
    </row>
    <row r="27" spans="1:10" ht="15">
      <c r="A27" s="32">
        <v>2036</v>
      </c>
      <c r="B27" s="32">
        <v>22</v>
      </c>
      <c r="C27" s="196">
        <f>1/(1+'Table 5'!$B$5)^B27</f>
        <v>0.24969597222735485</v>
      </c>
      <c r="D27" s="205">
        <f>D26-(D26*'Table 3'!$B$22)</f>
        <v>1300.1188642956697</v>
      </c>
      <c r="E27" s="202">
        <f>E26+(E26*'Table 3'!$F$10)</f>
        <v>1.816353069007833</v>
      </c>
      <c r="F27" s="55">
        <f>'Figure 3'!$L$16</f>
        <v>0.12187287594900438</v>
      </c>
      <c r="G27" s="120">
        <f t="shared" si="0"/>
        <v>39.5641333018421</v>
      </c>
      <c r="H27" s="113">
        <f t="shared" si="1"/>
        <v>589.6507683588719</v>
      </c>
      <c r="I27" s="213">
        <f t="shared" si="2"/>
        <v>0.16428537552273825</v>
      </c>
      <c r="J27" s="120">
        <f t="shared" si="3"/>
        <v>53.33269151246203</v>
      </c>
    </row>
    <row r="28" spans="1:10" ht="15">
      <c r="A28" s="32">
        <v>2037</v>
      </c>
      <c r="B28" s="32">
        <v>23</v>
      </c>
      <c r="C28" s="196">
        <f>1/(1+'Table 5'!$B$5)^B28</f>
        <v>0.23443429934030127</v>
      </c>
      <c r="D28" s="205">
        <f>D27-(D27*'Table 3'!$B$22)</f>
        <v>1293.6182699741914</v>
      </c>
      <c r="E28" s="202">
        <f>E27+(E27*'Table 3'!$F$10)</f>
        <v>1.8663027784055486</v>
      </c>
      <c r="F28" s="55">
        <f>'Figure 3'!$L$16</f>
        <v>0.12187287594900438</v>
      </c>
      <c r="G28" s="120">
        <f t="shared" si="0"/>
        <v>36.96020339436006</v>
      </c>
      <c r="H28" s="113">
        <f t="shared" si="1"/>
        <v>565.9908305945895</v>
      </c>
      <c r="I28" s="213">
        <f t="shared" si="2"/>
        <v>0.16844179552346353</v>
      </c>
      <c r="J28" s="120">
        <f t="shared" si="3"/>
        <v>51.08308944201361</v>
      </c>
    </row>
    <row r="29" spans="1:10" ht="15">
      <c r="A29" s="32">
        <v>2038</v>
      </c>
      <c r="B29" s="32">
        <v>24</v>
      </c>
      <c r="C29" s="196">
        <f>1/(1+'Table 5'!$B$5)^B29</f>
        <v>0.2201054354899082</v>
      </c>
      <c r="D29" s="205">
        <f>D28-(D28*'Table 3'!$B$22)</f>
        <v>1287.1501786243205</v>
      </c>
      <c r="E29" s="202">
        <f>E28+(E28*'Table 3'!$F$10)</f>
        <v>1.9176261048117011</v>
      </c>
      <c r="F29" s="55">
        <f>'Figure 3'!$L$16</f>
        <v>0.12187287594900438</v>
      </c>
      <c r="G29" s="120">
        <f t="shared" si="0"/>
        <v>34.527652217996675</v>
      </c>
      <c r="H29" s="113">
        <f t="shared" si="1"/>
        <v>543.2802558856079</v>
      </c>
      <c r="I29" s="213">
        <f t="shared" si="2"/>
        <v>0.17270337295020716</v>
      </c>
      <c r="J29" s="120">
        <f t="shared" si="3"/>
        <v>48.92837681614127</v>
      </c>
    </row>
    <row r="30" spans="7:10" ht="15">
      <c r="G30" s="104">
        <f>SUM(G5:G29)</f>
        <v>2198.07170422927</v>
      </c>
      <c r="H30" s="173">
        <f>SUM(H5:H29)</f>
        <v>23182.69988568904</v>
      </c>
      <c r="J30" s="104">
        <f>SUM(J5:J29)</f>
        <v>2152.132639841968</v>
      </c>
    </row>
    <row r="31" spans="7:10" ht="15">
      <c r="G31" s="104"/>
      <c r="H31" s="104"/>
      <c r="J31" s="104"/>
    </row>
    <row r="32" spans="1:10" ht="15">
      <c r="A32" t="s">
        <v>656</v>
      </c>
      <c r="G32" s="104"/>
      <c r="H32" s="104"/>
      <c r="J32" s="104"/>
    </row>
    <row r="34" ht="15">
      <c r="A34" t="s">
        <v>638</v>
      </c>
    </row>
    <row r="35" ht="15">
      <c r="A35" t="s">
        <v>639</v>
      </c>
    </row>
    <row r="36" ht="15">
      <c r="A36" t="s">
        <v>640</v>
      </c>
    </row>
    <row r="37" ht="15">
      <c r="A37" t="s">
        <v>641</v>
      </c>
    </row>
    <row r="39" spans="2:3" ht="15">
      <c r="B39" s="148" t="s">
        <v>649</v>
      </c>
      <c r="C39" s="148"/>
    </row>
    <row r="41" spans="2:5" ht="15">
      <c r="B41" t="s">
        <v>650</v>
      </c>
      <c r="E41" t="s">
        <v>658</v>
      </c>
    </row>
    <row r="43" ht="15">
      <c r="A43" t="s">
        <v>651</v>
      </c>
    </row>
    <row r="44" ht="15">
      <c r="A44" t="s">
        <v>652</v>
      </c>
    </row>
    <row r="45" ht="15">
      <c r="A45" t="s">
        <v>653</v>
      </c>
    </row>
    <row r="46" ht="15">
      <c r="A46" t="s">
        <v>654</v>
      </c>
    </row>
  </sheetData>
  <mergeCells count="3">
    <mergeCell ref="A3:A4"/>
    <mergeCell ref="A2:J2"/>
    <mergeCell ref="A1:J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election activeCell="S44" sqref="S44"/>
    </sheetView>
  </sheetViews>
  <sheetFormatPr defaultColWidth="9.140625" defaultRowHeight="15"/>
  <cols>
    <col min="1" max="1" width="21.00390625" style="0" customWidth="1"/>
    <col min="2" max="2" width="10.57421875" style="0" customWidth="1"/>
    <col min="3" max="3" width="13.7109375" style="1" customWidth="1"/>
    <col min="4" max="4" width="4.421875" style="0" customWidth="1"/>
    <col min="5" max="5" width="26.7109375" style="0" customWidth="1"/>
    <col min="6" max="6" width="14.28125" style="2" customWidth="1"/>
    <col min="8" max="8" width="4.28125" style="0" customWidth="1"/>
    <col min="10" max="10" width="2.28125" style="0" customWidth="1"/>
    <col min="14" max="14" width="2.7109375" style="0" customWidth="1"/>
  </cols>
  <sheetData>
    <row r="1" spans="1:7" ht="15">
      <c r="A1" s="260" t="s">
        <v>279</v>
      </c>
      <c r="B1" s="260"/>
      <c r="C1" s="260"/>
      <c r="D1" s="260"/>
      <c r="E1" s="260"/>
      <c r="F1" s="260"/>
      <c r="G1" s="260"/>
    </row>
    <row r="3" spans="1:7" ht="15">
      <c r="A3" s="263" t="s">
        <v>38</v>
      </c>
      <c r="B3" s="263"/>
      <c r="C3" s="263"/>
      <c r="D3" s="6"/>
      <c r="E3" s="10" t="s">
        <v>48</v>
      </c>
      <c r="F3" s="16"/>
      <c r="G3" s="6"/>
    </row>
    <row r="4" spans="1:7" ht="28.8">
      <c r="A4" s="10" t="s">
        <v>39</v>
      </c>
      <c r="B4" s="10"/>
      <c r="C4" s="11"/>
      <c r="D4" s="6"/>
      <c r="E4" s="7" t="s">
        <v>688</v>
      </c>
      <c r="F4" s="18">
        <v>0.03</v>
      </c>
      <c r="G4" s="6" t="s">
        <v>46</v>
      </c>
    </row>
    <row r="5" spans="1:18" ht="28.8">
      <c r="A5" s="10"/>
      <c r="B5" s="233"/>
      <c r="C5" s="232"/>
      <c r="D5" s="6"/>
      <c r="E5" s="7" t="s">
        <v>689</v>
      </c>
      <c r="F5" s="234">
        <f>(1+F4)*(1+F10)-1</f>
        <v>0.05832500000000018</v>
      </c>
      <c r="G5" s="6"/>
      <c r="K5" s="93"/>
      <c r="L5" s="93"/>
      <c r="M5" s="93"/>
      <c r="N5" s="93"/>
      <c r="O5" s="93"/>
      <c r="P5" s="93"/>
      <c r="Q5" s="93"/>
      <c r="R5" s="93"/>
    </row>
    <row r="6" spans="1:18" ht="28.8">
      <c r="A6" s="12">
        <v>2014</v>
      </c>
      <c r="B6" s="250">
        <v>4.50254095441595</v>
      </c>
      <c r="C6" s="12" t="s">
        <v>42</v>
      </c>
      <c r="D6" s="6"/>
      <c r="E6" s="6" t="s">
        <v>49</v>
      </c>
      <c r="F6" s="16" t="s">
        <v>50</v>
      </c>
      <c r="G6" s="6"/>
      <c r="K6" s="93"/>
      <c r="L6" s="93"/>
      <c r="M6" s="93"/>
      <c r="N6" s="93"/>
      <c r="O6" s="93"/>
      <c r="P6" s="93"/>
      <c r="Q6" s="93"/>
      <c r="R6" s="93"/>
    </row>
    <row r="7" spans="1:18" ht="15">
      <c r="A7" s="12">
        <v>2015</v>
      </c>
      <c r="B7" s="251">
        <v>4.25796875</v>
      </c>
      <c r="C7" s="12" t="s">
        <v>42</v>
      </c>
      <c r="D7" s="6"/>
      <c r="E7" s="6"/>
      <c r="F7" s="16"/>
      <c r="G7" s="6"/>
      <c r="K7" s="93"/>
      <c r="L7" s="93"/>
      <c r="M7" s="93"/>
      <c r="N7" s="93"/>
      <c r="O7" s="93"/>
      <c r="P7" s="93"/>
      <c r="Q7" s="93"/>
      <c r="R7" s="93"/>
    </row>
    <row r="8" spans="1:18" ht="15">
      <c r="A8" s="12">
        <v>2016</v>
      </c>
      <c r="B8" s="251">
        <v>4.19864583333333</v>
      </c>
      <c r="C8" s="12" t="s">
        <v>42</v>
      </c>
      <c r="D8" s="6"/>
      <c r="E8" s="6"/>
      <c r="F8" s="16"/>
      <c r="G8" s="6"/>
      <c r="K8" s="93"/>
      <c r="L8" s="93"/>
      <c r="M8" s="93"/>
      <c r="N8" s="93"/>
      <c r="O8" s="93"/>
      <c r="P8" s="93"/>
      <c r="Q8" s="93"/>
      <c r="R8" s="93"/>
    </row>
    <row r="9" spans="1:18" ht="15">
      <c r="A9" s="12">
        <v>2017</v>
      </c>
      <c r="B9" s="251">
        <v>4.27272916666667</v>
      </c>
      <c r="C9" s="12" t="s">
        <v>42</v>
      </c>
      <c r="D9" s="6"/>
      <c r="E9" s="10" t="s">
        <v>51</v>
      </c>
      <c r="F9" s="16"/>
      <c r="G9" s="6"/>
      <c r="K9" s="93"/>
      <c r="L9" s="93"/>
      <c r="M9" s="93"/>
      <c r="N9" s="93"/>
      <c r="O9" s="93"/>
      <c r="P9" s="93"/>
      <c r="Q9" s="93"/>
      <c r="R9" s="93"/>
    </row>
    <row r="10" spans="1:18" ht="15">
      <c r="A10" s="12">
        <v>2018</v>
      </c>
      <c r="B10" s="251">
        <v>4.36918402777778</v>
      </c>
      <c r="C10" s="12" t="s">
        <v>42</v>
      </c>
      <c r="D10" s="6"/>
      <c r="E10" s="6" t="s">
        <v>52</v>
      </c>
      <c r="F10" s="18">
        <v>0.0275</v>
      </c>
      <c r="G10" s="6" t="s">
        <v>46</v>
      </c>
      <c r="K10" s="93"/>
      <c r="L10" s="93"/>
      <c r="M10" s="93"/>
      <c r="N10" s="93"/>
      <c r="O10" s="93"/>
      <c r="P10" s="93"/>
      <c r="Q10" s="93"/>
      <c r="R10" s="93"/>
    </row>
    <row r="11" spans="1:18" ht="15">
      <c r="A11" s="12">
        <v>2019</v>
      </c>
      <c r="B11" s="251">
        <v>4.49356944444444</v>
      </c>
      <c r="C11" s="12" t="s">
        <v>42</v>
      </c>
      <c r="D11" s="6"/>
      <c r="E11" s="6"/>
      <c r="F11" s="16"/>
      <c r="G11" s="6"/>
      <c r="K11" s="93"/>
      <c r="L11" s="93"/>
      <c r="M11" s="93"/>
      <c r="N11" s="93"/>
      <c r="O11" s="93"/>
      <c r="P11" s="93"/>
      <c r="Q11" s="93"/>
      <c r="R11" s="93"/>
    </row>
    <row r="12" spans="1:18" ht="15">
      <c r="A12" s="12">
        <v>2020</v>
      </c>
      <c r="B12" s="251">
        <v>4.68930902777778</v>
      </c>
      <c r="C12" s="12" t="s">
        <v>42</v>
      </c>
      <c r="D12" s="6"/>
      <c r="E12" s="10" t="s">
        <v>53</v>
      </c>
      <c r="F12" s="16"/>
      <c r="G12" s="6"/>
      <c r="K12" s="93"/>
      <c r="L12" s="93"/>
      <c r="M12" s="93"/>
      <c r="N12" s="93"/>
      <c r="O12" s="93"/>
      <c r="P12" s="93"/>
      <c r="Q12" s="93"/>
      <c r="R12" s="93"/>
    </row>
    <row r="13" spans="1:18" ht="15">
      <c r="A13" s="12">
        <v>2021</v>
      </c>
      <c r="B13" s="251">
        <v>4.85902777777778</v>
      </c>
      <c r="C13" s="12" t="s">
        <v>42</v>
      </c>
      <c r="D13" s="6"/>
      <c r="E13" s="12" t="s">
        <v>54</v>
      </c>
      <c r="F13" s="18">
        <v>0.0013</v>
      </c>
      <c r="G13" s="6"/>
      <c r="K13" s="93"/>
      <c r="L13" s="93"/>
      <c r="M13" s="93"/>
      <c r="N13" s="93"/>
      <c r="O13" s="93"/>
      <c r="P13" s="93"/>
      <c r="Q13" s="93"/>
      <c r="R13" s="93"/>
    </row>
    <row r="14" spans="1:18" ht="15">
      <c r="A14" s="12">
        <v>2022</v>
      </c>
      <c r="B14" s="251">
        <v>5.0028125</v>
      </c>
      <c r="C14" s="12" t="s">
        <v>42</v>
      </c>
      <c r="D14" s="6"/>
      <c r="E14" s="12" t="s">
        <v>55</v>
      </c>
      <c r="F14" s="18">
        <v>0.0029</v>
      </c>
      <c r="G14" s="6"/>
      <c r="K14" s="93"/>
      <c r="L14" s="93"/>
      <c r="M14" s="93"/>
      <c r="N14" s="93"/>
      <c r="O14" s="93"/>
      <c r="P14" s="93"/>
      <c r="Q14" s="93"/>
      <c r="R14" s="93"/>
    </row>
    <row r="15" spans="1:18" ht="15">
      <c r="A15" s="12">
        <v>2023</v>
      </c>
      <c r="B15" s="251">
        <v>5.09129166666667</v>
      </c>
      <c r="C15" s="12" t="s">
        <v>42</v>
      </c>
      <c r="D15" s="6"/>
      <c r="E15" s="12" t="s">
        <v>56</v>
      </c>
      <c r="F15" s="18">
        <v>0.0048</v>
      </c>
      <c r="G15" s="6"/>
      <c r="K15" s="93"/>
      <c r="L15" s="93"/>
      <c r="M15" s="93"/>
      <c r="N15" s="93"/>
      <c r="O15" s="93"/>
      <c r="P15" s="93"/>
      <c r="Q15" s="93"/>
      <c r="R15" s="93"/>
    </row>
    <row r="16" spans="1:18" ht="15">
      <c r="A16" s="12">
        <v>2024</v>
      </c>
      <c r="B16" s="251">
        <v>5.14583333333333</v>
      </c>
      <c r="C16" s="12" t="s">
        <v>42</v>
      </c>
      <c r="D16" s="6"/>
      <c r="E16" s="12" t="s">
        <v>57</v>
      </c>
      <c r="F16" s="18">
        <v>0.0101</v>
      </c>
      <c r="G16" s="6"/>
      <c r="K16" s="93"/>
      <c r="L16" s="93"/>
      <c r="M16" s="93"/>
      <c r="N16" s="93"/>
      <c r="O16" s="93"/>
      <c r="P16" s="93"/>
      <c r="Q16" s="93"/>
      <c r="R16" s="93"/>
    </row>
    <row r="17" spans="1:18" ht="15">
      <c r="A17" s="12">
        <v>2025</v>
      </c>
      <c r="B17" s="251">
        <v>5.23983333333333</v>
      </c>
      <c r="C17" s="12" t="s">
        <v>42</v>
      </c>
      <c r="D17" s="6"/>
      <c r="E17" s="12" t="s">
        <v>58</v>
      </c>
      <c r="F17" s="18">
        <v>0.0153</v>
      </c>
      <c r="G17" s="6"/>
      <c r="K17" s="93"/>
      <c r="L17" s="93"/>
      <c r="M17" s="93"/>
      <c r="N17" s="93"/>
      <c r="O17" s="93"/>
      <c r="P17" s="93"/>
      <c r="Q17" s="93"/>
      <c r="R17" s="93"/>
    </row>
    <row r="18" spans="1:18" ht="15">
      <c r="A18" s="6"/>
      <c r="B18" s="6"/>
      <c r="C18" s="12"/>
      <c r="D18" s="6"/>
      <c r="E18" s="12" t="s">
        <v>59</v>
      </c>
      <c r="F18" s="18">
        <v>0.0214</v>
      </c>
      <c r="G18" s="6"/>
      <c r="K18" s="93"/>
      <c r="L18" s="93"/>
      <c r="M18" s="93"/>
      <c r="N18" s="93"/>
      <c r="O18" s="93"/>
      <c r="P18" s="93"/>
      <c r="Q18" s="93"/>
      <c r="R18" s="93"/>
    </row>
    <row r="19" spans="1:18" ht="15">
      <c r="A19" s="6" t="s">
        <v>40</v>
      </c>
      <c r="B19" s="207">
        <f>F10</f>
        <v>0.0275</v>
      </c>
      <c r="C19" s="12"/>
      <c r="D19" s="6"/>
      <c r="E19" s="12" t="s">
        <v>60</v>
      </c>
      <c r="F19" s="18">
        <v>0.0292</v>
      </c>
      <c r="G19" s="6"/>
      <c r="K19" s="93"/>
      <c r="L19" s="93"/>
      <c r="M19" s="93"/>
      <c r="N19" s="93"/>
      <c r="O19" s="93"/>
      <c r="P19" s="93"/>
      <c r="Q19" s="93"/>
      <c r="R19" s="93"/>
    </row>
    <row r="20" spans="1:18" ht="15">
      <c r="A20" s="13" t="s">
        <v>41</v>
      </c>
      <c r="B20" s="206"/>
      <c r="C20" s="12"/>
      <c r="D20" s="6"/>
      <c r="E20" s="12" t="s">
        <v>61</v>
      </c>
      <c r="F20" s="18">
        <v>0.0327</v>
      </c>
      <c r="G20" s="6"/>
      <c r="K20" s="93"/>
      <c r="L20" s="93"/>
      <c r="M20" s="93"/>
      <c r="N20" s="93"/>
      <c r="O20" s="93"/>
      <c r="P20" s="93"/>
      <c r="Q20" s="93"/>
      <c r="R20" s="93"/>
    </row>
    <row r="21" spans="1:18" ht="15">
      <c r="A21" s="10" t="s">
        <v>43</v>
      </c>
      <c r="B21" s="6"/>
      <c r="C21" s="12"/>
      <c r="D21" s="6"/>
      <c r="E21" s="6"/>
      <c r="F21" s="17"/>
      <c r="G21" s="6"/>
      <c r="K21" s="93"/>
      <c r="L21" s="93"/>
      <c r="M21" s="93"/>
      <c r="N21" s="93"/>
      <c r="O21" s="93"/>
      <c r="P21" s="93"/>
      <c r="Q21" s="93"/>
      <c r="R21" s="93"/>
    </row>
    <row r="22" spans="1:18" ht="15">
      <c r="A22" s="6" t="s">
        <v>44</v>
      </c>
      <c r="B22" s="14">
        <v>0.005</v>
      </c>
      <c r="C22" s="12" t="s">
        <v>46</v>
      </c>
      <c r="D22" s="6"/>
      <c r="E22" s="6"/>
      <c r="F22" s="16"/>
      <c r="G22" s="6"/>
      <c r="K22" s="93"/>
      <c r="L22" s="93"/>
      <c r="M22" s="93"/>
      <c r="N22" s="93"/>
      <c r="O22" s="93"/>
      <c r="P22" s="93"/>
      <c r="Q22" s="93"/>
      <c r="R22" s="93"/>
    </row>
    <row r="23" spans="1:18" ht="15">
      <c r="A23" s="6" t="s">
        <v>45</v>
      </c>
      <c r="B23" s="15">
        <v>25</v>
      </c>
      <c r="C23" s="12" t="s">
        <v>47</v>
      </c>
      <c r="D23" s="6"/>
      <c r="E23" s="6"/>
      <c r="F23" s="16"/>
      <c r="G23" s="6"/>
      <c r="K23" s="93"/>
      <c r="L23" s="93"/>
      <c r="M23" s="93"/>
      <c r="N23" s="93"/>
      <c r="O23" s="93"/>
      <c r="P23" s="93"/>
      <c r="Q23" s="93"/>
      <c r="R23" s="93"/>
    </row>
    <row r="24" spans="11:18" ht="15">
      <c r="K24" s="93"/>
      <c r="L24" s="93"/>
      <c r="M24" s="93"/>
      <c r="N24" s="93"/>
      <c r="O24" s="93"/>
      <c r="P24" s="93"/>
      <c r="Q24" s="93"/>
      <c r="R24" s="93"/>
    </row>
    <row r="25" spans="1:18" ht="15">
      <c r="A25" t="s">
        <v>69</v>
      </c>
      <c r="K25" s="93"/>
      <c r="L25" s="93"/>
      <c r="M25" s="93"/>
      <c r="N25" s="93"/>
      <c r="O25" s="93"/>
      <c r="P25" s="93"/>
      <c r="Q25" s="93"/>
      <c r="R25" s="93"/>
    </row>
    <row r="26" spans="11:18" ht="15">
      <c r="K26" s="93"/>
      <c r="L26" s="93"/>
      <c r="M26" s="93"/>
      <c r="N26" s="93"/>
      <c r="O26" s="93"/>
      <c r="P26" s="93"/>
      <c r="Q26" s="93"/>
      <c r="R26" s="93"/>
    </row>
    <row r="27" spans="1:18" ht="15">
      <c r="A27" s="92" t="s">
        <v>425</v>
      </c>
      <c r="K27" s="93"/>
      <c r="L27" s="93"/>
      <c r="M27" s="93"/>
      <c r="N27" s="93"/>
      <c r="O27" s="93"/>
      <c r="P27" s="93"/>
      <c r="Q27" s="93"/>
      <c r="R27" s="93"/>
    </row>
    <row r="28" spans="1:18" ht="15">
      <c r="A28" s="92"/>
      <c r="K28" s="93"/>
      <c r="L28" s="93"/>
      <c r="M28" s="93"/>
      <c r="N28" s="93"/>
      <c r="O28" s="93"/>
      <c r="P28" s="93"/>
      <c r="Q28" s="93"/>
      <c r="R28" s="93"/>
    </row>
    <row r="29" spans="1:18" ht="15">
      <c r="A29" s="161" t="s">
        <v>400</v>
      </c>
      <c r="B29" s="111"/>
      <c r="C29" s="162"/>
      <c r="D29" s="111"/>
      <c r="E29" s="111"/>
      <c r="F29" s="163"/>
      <c r="K29" s="93"/>
      <c r="L29" s="93"/>
      <c r="M29" s="93"/>
      <c r="N29" s="93"/>
      <c r="O29" s="93"/>
      <c r="P29" s="93"/>
      <c r="Q29" s="93"/>
      <c r="R29" s="93"/>
    </row>
    <row r="30" spans="1:18" ht="15">
      <c r="A30" s="161" t="s">
        <v>401</v>
      </c>
      <c r="B30" s="111"/>
      <c r="C30" s="162"/>
      <c r="D30" s="111"/>
      <c r="E30" s="111"/>
      <c r="F30" s="163"/>
      <c r="K30" s="93"/>
      <c r="L30" s="93"/>
      <c r="M30" s="93"/>
      <c r="N30" s="93"/>
      <c r="O30" s="93"/>
      <c r="P30" s="93"/>
      <c r="Q30" s="93"/>
      <c r="R30" s="93"/>
    </row>
    <row r="31" spans="1:18" ht="15">
      <c r="A31" s="161" t="s">
        <v>402</v>
      </c>
      <c r="B31" s="111"/>
      <c r="C31" s="162"/>
      <c r="D31" s="111"/>
      <c r="E31" s="111"/>
      <c r="F31" s="163"/>
      <c r="K31" s="93"/>
      <c r="L31" s="93"/>
      <c r="M31" s="93"/>
      <c r="N31" s="93"/>
      <c r="O31" s="93"/>
      <c r="P31" s="93"/>
      <c r="Q31" s="93"/>
      <c r="R31" s="93"/>
    </row>
    <row r="32" spans="1:18" ht="15">
      <c r="A32" s="161" t="s">
        <v>403</v>
      </c>
      <c r="B32" s="111"/>
      <c r="C32" s="162"/>
      <c r="D32" s="111"/>
      <c r="E32" s="111"/>
      <c r="F32" s="163"/>
      <c r="K32" s="93"/>
      <c r="L32" s="93"/>
      <c r="M32" s="93"/>
      <c r="N32" s="93"/>
      <c r="O32" s="93"/>
      <c r="P32" s="93"/>
      <c r="Q32" s="93"/>
      <c r="R32" s="93"/>
    </row>
    <row r="33" spans="1:18" ht="15">
      <c r="A33" s="161" t="s">
        <v>404</v>
      </c>
      <c r="B33" s="111"/>
      <c r="C33" s="162"/>
      <c r="D33" s="111"/>
      <c r="E33" s="111"/>
      <c r="F33" s="163"/>
      <c r="K33" s="93"/>
      <c r="L33" s="93"/>
      <c r="M33" s="93"/>
      <c r="N33" s="93"/>
      <c r="O33" s="93"/>
      <c r="P33" s="93"/>
      <c r="Q33" s="93"/>
      <c r="R33" s="93"/>
    </row>
    <row r="34" spans="11:18" ht="15">
      <c r="K34" s="93"/>
      <c r="L34" s="93"/>
      <c r="M34" s="93"/>
      <c r="N34" s="93"/>
      <c r="O34" s="93"/>
      <c r="P34" s="93"/>
      <c r="Q34" s="93"/>
      <c r="R34" s="93"/>
    </row>
    <row r="35" spans="1:18" ht="15">
      <c r="A35" s="129" t="s">
        <v>277</v>
      </c>
      <c r="B35" s="22"/>
      <c r="C35" s="130"/>
      <c r="D35" s="22"/>
      <c r="E35" s="22"/>
      <c r="F35" s="131"/>
      <c r="K35" s="93"/>
      <c r="L35" s="93"/>
      <c r="M35" s="93"/>
      <c r="N35" s="93"/>
      <c r="O35" s="93"/>
      <c r="P35" s="93"/>
      <c r="Q35" s="93"/>
      <c r="R35" s="93"/>
    </row>
    <row r="36" spans="1:18" ht="15">
      <c r="A36" s="129" t="s">
        <v>278</v>
      </c>
      <c r="B36" s="22"/>
      <c r="C36" s="130"/>
      <c r="D36" s="22"/>
      <c r="E36" s="22"/>
      <c r="F36" s="131"/>
      <c r="K36" s="93"/>
      <c r="L36" s="93"/>
      <c r="M36" s="93"/>
      <c r="N36" s="93"/>
      <c r="O36" s="93"/>
      <c r="P36" s="93"/>
      <c r="Q36" s="93"/>
      <c r="R36" s="93"/>
    </row>
    <row r="37" spans="1:18" ht="15">
      <c r="A37" s="129"/>
      <c r="B37" s="22"/>
      <c r="C37" s="130"/>
      <c r="D37" s="22"/>
      <c r="E37" s="22"/>
      <c r="F37" s="131"/>
      <c r="G37" s="22"/>
      <c r="K37" s="93"/>
      <c r="L37" s="93"/>
      <c r="M37" s="93"/>
      <c r="N37" s="93"/>
      <c r="O37" s="93"/>
      <c r="P37" s="93"/>
      <c r="Q37" s="93"/>
      <c r="R37" s="93"/>
    </row>
    <row r="38" spans="1:18" ht="15">
      <c r="A38" s="129"/>
      <c r="B38" s="22"/>
      <c r="C38" s="130"/>
      <c r="D38" s="22"/>
      <c r="E38" s="22"/>
      <c r="F38" s="131"/>
      <c r="G38" s="22"/>
      <c r="K38" s="93"/>
      <c r="L38" s="93"/>
      <c r="M38" s="93"/>
      <c r="N38" s="93"/>
      <c r="O38" s="93"/>
      <c r="P38" s="93"/>
      <c r="Q38" s="93"/>
      <c r="R38" s="93"/>
    </row>
    <row r="39" spans="1:18" ht="15">
      <c r="A39" s="22"/>
      <c r="B39" s="22"/>
      <c r="C39" s="130"/>
      <c r="D39" s="22"/>
      <c r="E39" s="22"/>
      <c r="F39" s="131"/>
      <c r="G39" s="22"/>
      <c r="K39" s="93"/>
      <c r="L39" s="93"/>
      <c r="M39" s="93"/>
      <c r="N39" s="93"/>
      <c r="O39" s="93"/>
      <c r="P39" s="93"/>
      <c r="Q39" s="93"/>
      <c r="R39" s="93"/>
    </row>
    <row r="40" spans="1:18" ht="15">
      <c r="A40" s="38" t="s">
        <v>424</v>
      </c>
      <c r="K40" s="93"/>
      <c r="L40" s="93"/>
      <c r="M40" s="93"/>
      <c r="N40" s="93"/>
      <c r="O40" s="93"/>
      <c r="P40" s="93"/>
      <c r="Q40" s="93"/>
      <c r="R40" s="93"/>
    </row>
    <row r="41" ht="15">
      <c r="A41" s="38"/>
    </row>
    <row r="42" ht="15">
      <c r="A42" s="111" t="s">
        <v>364</v>
      </c>
    </row>
    <row r="43" ht="15">
      <c r="A43" s="111" t="s">
        <v>370</v>
      </c>
    </row>
    <row r="44" ht="15">
      <c r="A44" s="111" t="s">
        <v>365</v>
      </c>
    </row>
    <row r="45" spans="1:3" ht="15">
      <c r="A45" s="111"/>
      <c r="C45" s="107"/>
    </row>
    <row r="46" ht="15">
      <c r="A46" s="164" t="s">
        <v>447</v>
      </c>
    </row>
    <row r="47" ht="15">
      <c r="A47" s="111" t="s">
        <v>366</v>
      </c>
    </row>
    <row r="48" ht="15">
      <c r="A48" s="111"/>
    </row>
    <row r="49" ht="15">
      <c r="A49" s="111" t="s">
        <v>367</v>
      </c>
    </row>
    <row r="50" spans="1:9" ht="15">
      <c r="A50" s="111" t="s">
        <v>368</v>
      </c>
      <c r="I50" s="128"/>
    </row>
    <row r="51" spans="1:9" ht="15">
      <c r="A51" t="s">
        <v>369</v>
      </c>
      <c r="I51" s="128"/>
    </row>
    <row r="52" spans="1:9" s="22" customFormat="1" ht="15">
      <c r="A52" s="129"/>
      <c r="C52" s="130"/>
      <c r="F52" s="131"/>
      <c r="I52" s="160"/>
    </row>
    <row r="53" spans="1:6" ht="15">
      <c r="A53" s="92" t="s">
        <v>423</v>
      </c>
      <c r="C53" s="146"/>
      <c r="F53"/>
    </row>
    <row r="54" spans="3:6" ht="15">
      <c r="C54" s="146"/>
      <c r="F54"/>
    </row>
    <row r="55" ht="15">
      <c r="A55" t="s">
        <v>357</v>
      </c>
    </row>
    <row r="56" ht="15">
      <c r="A56" t="s">
        <v>358</v>
      </c>
    </row>
    <row r="57" ht="15">
      <c r="A57" t="s">
        <v>356</v>
      </c>
    </row>
    <row r="58" ht="15">
      <c r="A58" t="s">
        <v>359</v>
      </c>
    </row>
    <row r="60" ht="15">
      <c r="A60" t="s">
        <v>360</v>
      </c>
    </row>
    <row r="62" ht="15">
      <c r="A62" t="s">
        <v>363</v>
      </c>
    </row>
    <row r="64" ht="15">
      <c r="A64" s="38" t="s">
        <v>414</v>
      </c>
    </row>
    <row r="65" spans="1:3" ht="15">
      <c r="A65" s="38"/>
      <c r="C65" s="107"/>
    </row>
    <row r="66" spans="1:6" ht="15">
      <c r="A66" s="111" t="s">
        <v>415</v>
      </c>
      <c r="B66" s="111"/>
      <c r="C66" s="162"/>
      <c r="D66" s="111"/>
      <c r="E66" s="111"/>
      <c r="F66" s="163"/>
    </row>
    <row r="67" spans="1:6" ht="15">
      <c r="A67" s="111" t="s">
        <v>416</v>
      </c>
      <c r="B67" s="111"/>
      <c r="C67" s="162"/>
      <c r="D67" s="111"/>
      <c r="E67" s="111"/>
      <c r="F67" s="163"/>
    </row>
    <row r="68" spans="1:6" ht="15">
      <c r="A68" s="111" t="s">
        <v>417</v>
      </c>
      <c r="B68" s="111"/>
      <c r="C68" s="162"/>
      <c r="D68" s="111"/>
      <c r="E68" s="111"/>
      <c r="F68" s="163"/>
    </row>
    <row r="69" spans="1:6" ht="15">
      <c r="A69" s="111" t="s">
        <v>418</v>
      </c>
      <c r="B69" s="111"/>
      <c r="C69" s="162"/>
      <c r="D69" s="111"/>
      <c r="E69" s="111"/>
      <c r="F69" s="163"/>
    </row>
    <row r="70" spans="1:6" ht="15">
      <c r="A70" s="111"/>
      <c r="B70" s="111"/>
      <c r="C70" s="162"/>
      <c r="D70" s="111"/>
      <c r="E70" s="111"/>
      <c r="F70" s="163"/>
    </row>
    <row r="71" spans="1:6" ht="15">
      <c r="A71" s="111" t="s">
        <v>419</v>
      </c>
      <c r="B71" s="111"/>
      <c r="C71" s="162"/>
      <c r="D71" s="111"/>
      <c r="E71" s="111"/>
      <c r="F71" s="163"/>
    </row>
    <row r="72" spans="1:6" ht="15">
      <c r="A72" s="111" t="s">
        <v>420</v>
      </c>
      <c r="B72" s="111"/>
      <c r="C72" s="162"/>
      <c r="D72" s="111"/>
      <c r="E72" s="111"/>
      <c r="F72" s="163"/>
    </row>
    <row r="73" spans="1:6" ht="15">
      <c r="A73" s="111" t="s">
        <v>421</v>
      </c>
      <c r="B73" s="111"/>
      <c r="C73" s="162"/>
      <c r="D73" s="111"/>
      <c r="E73" s="111"/>
      <c r="F73" s="163"/>
    </row>
    <row r="74" spans="1:6" ht="15">
      <c r="A74" s="111" t="s">
        <v>422</v>
      </c>
      <c r="B74" s="111"/>
      <c r="C74" s="162"/>
      <c r="D74" s="111"/>
      <c r="E74" s="111"/>
      <c r="F74" s="163"/>
    </row>
    <row r="75" spans="1:6" ht="15">
      <c r="A75" s="111"/>
      <c r="B75" s="111"/>
      <c r="C75" s="162"/>
      <c r="D75" s="111"/>
      <c r="E75" s="111"/>
      <c r="F75" s="163"/>
    </row>
    <row r="76" ht="15">
      <c r="A76" s="148" t="s">
        <v>276</v>
      </c>
    </row>
    <row r="77" spans="1:9" ht="15">
      <c r="A77" t="s">
        <v>271</v>
      </c>
      <c r="C77" s="146" t="s">
        <v>274</v>
      </c>
      <c r="F77" t="s">
        <v>275</v>
      </c>
      <c r="I77" s="128">
        <f>((224.939/120.3)^(1/25))-1</f>
        <v>0.025349597585655248</v>
      </c>
    </row>
    <row r="78" spans="1:9" ht="15">
      <c r="A78" t="s">
        <v>371</v>
      </c>
      <c r="C78" s="146"/>
      <c r="F78"/>
      <c r="I78" s="128"/>
    </row>
    <row r="80" ht="15">
      <c r="A80" s="92" t="s">
        <v>413</v>
      </c>
    </row>
    <row r="82" ht="15">
      <c r="A82" t="s">
        <v>375</v>
      </c>
    </row>
    <row r="83" ht="15">
      <c r="A83" s="148" t="s">
        <v>448</v>
      </c>
    </row>
    <row r="84" ht="15">
      <c r="A84" t="s">
        <v>412</v>
      </c>
    </row>
    <row r="86" ht="15">
      <c r="A86" t="s">
        <v>376</v>
      </c>
    </row>
    <row r="87" ht="15">
      <c r="A87" t="s">
        <v>377</v>
      </c>
    </row>
    <row r="88" ht="15">
      <c r="A88" t="s">
        <v>378</v>
      </c>
    </row>
    <row r="90" ht="15">
      <c r="A90" t="s">
        <v>379</v>
      </c>
    </row>
  </sheetData>
  <mergeCells count="2">
    <mergeCell ref="A3:C3"/>
    <mergeCell ref="A1:G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workbookViewId="0" topLeftCell="A1">
      <selection activeCell="F4" sqref="F4"/>
    </sheetView>
  </sheetViews>
  <sheetFormatPr defaultColWidth="9.140625" defaultRowHeight="15"/>
  <cols>
    <col min="3" max="3" width="10.7109375" style="0" customWidth="1"/>
    <col min="4" max="4" width="11.140625" style="0" customWidth="1"/>
    <col min="5" max="6" width="10.8515625" style="0" customWidth="1"/>
    <col min="7" max="7" width="12.28125" style="0" customWidth="1"/>
    <col min="8" max="8" width="15.421875" style="0" customWidth="1"/>
    <col min="9" max="9" width="10.7109375" style="0" customWidth="1"/>
    <col min="10" max="10" width="11.28125" style="0" customWidth="1"/>
  </cols>
  <sheetData>
    <row r="1" spans="1:9" ht="15">
      <c r="A1" s="260" t="s">
        <v>280</v>
      </c>
      <c r="B1" s="260"/>
      <c r="C1" s="260"/>
      <c r="D1" s="260"/>
      <c r="E1" s="260"/>
      <c r="F1" s="260"/>
      <c r="G1" s="260"/>
      <c r="H1" s="260"/>
      <c r="I1" s="260"/>
    </row>
    <row r="2" spans="1:8" ht="15">
      <c r="A2" s="261"/>
      <c r="B2" s="261"/>
      <c r="C2" s="261"/>
      <c r="D2" s="261"/>
      <c r="E2" s="261"/>
      <c r="F2" s="261"/>
      <c r="G2" s="261"/>
      <c r="H2" s="261"/>
    </row>
    <row r="3" spans="1:8" s="3" customFormat="1" ht="28.8">
      <c r="A3" s="20" t="s">
        <v>39</v>
      </c>
      <c r="B3" s="20" t="s">
        <v>62</v>
      </c>
      <c r="C3" s="20" t="s">
        <v>63</v>
      </c>
      <c r="D3" s="20" t="s">
        <v>64</v>
      </c>
      <c r="E3" s="20" t="s">
        <v>65</v>
      </c>
      <c r="F3" s="20" t="s">
        <v>66</v>
      </c>
      <c r="G3" s="20" t="s">
        <v>67</v>
      </c>
      <c r="H3" s="20" t="s">
        <v>68</v>
      </c>
    </row>
    <row r="4" spans="1:8" ht="15">
      <c r="A4" s="12">
        <v>2014</v>
      </c>
      <c r="B4" s="12">
        <v>0</v>
      </c>
      <c r="C4" s="19">
        <f>'Table 4a'!H4</f>
        <v>2.178620689655172</v>
      </c>
      <c r="D4" s="19">
        <v>0.069</v>
      </c>
      <c r="E4" s="19">
        <v>0</v>
      </c>
      <c r="F4" s="19">
        <v>0.013</v>
      </c>
      <c r="G4" s="19">
        <v>0</v>
      </c>
      <c r="H4" s="21">
        <f aca="true" t="shared" si="0" ref="H4:H28">SUM(C4:G4)</f>
        <v>2.260620689655172</v>
      </c>
    </row>
    <row r="5" spans="1:8" ht="15">
      <c r="A5" s="12">
        <v>2015</v>
      </c>
      <c r="B5" s="12">
        <v>1</v>
      </c>
      <c r="C5" s="196">
        <f>'Table 4a'!H5</f>
        <v>2.300714224137931</v>
      </c>
      <c r="D5" s="19">
        <v>0.071</v>
      </c>
      <c r="E5" s="19">
        <v>0</v>
      </c>
      <c r="F5" s="19">
        <v>0.013</v>
      </c>
      <c r="G5" s="19">
        <v>0</v>
      </c>
      <c r="H5" s="21">
        <f t="shared" si="0"/>
        <v>2.384714224137931</v>
      </c>
    </row>
    <row r="6" spans="1:8" ht="15">
      <c r="A6" s="12">
        <v>2016</v>
      </c>
      <c r="B6" s="12">
        <v>2</v>
      </c>
      <c r="C6" s="196">
        <f>'Table 4a'!H6</f>
        <v>2.42787532112069</v>
      </c>
      <c r="D6" s="19">
        <v>0.073</v>
      </c>
      <c r="E6" s="19">
        <v>0</v>
      </c>
      <c r="F6" s="19">
        <v>0.014</v>
      </c>
      <c r="G6" s="19">
        <v>0</v>
      </c>
      <c r="H6" s="21">
        <f t="shared" si="0"/>
        <v>2.5148753211206896</v>
      </c>
    </row>
    <row r="7" spans="1:8" ht="15">
      <c r="A7" s="12">
        <v>2017</v>
      </c>
      <c r="B7" s="12">
        <v>3</v>
      </c>
      <c r="C7" s="196">
        <f>'Table 4a'!H7</f>
        <v>2.560290363305496</v>
      </c>
      <c r="D7" s="19">
        <v>0.075</v>
      </c>
      <c r="E7" s="19">
        <v>0</v>
      </c>
      <c r="F7" s="19">
        <v>0.014</v>
      </c>
      <c r="G7" s="19">
        <v>0</v>
      </c>
      <c r="H7" s="21">
        <f t="shared" si="0"/>
        <v>2.649290363305496</v>
      </c>
    </row>
    <row r="8" spans="1:8" ht="15">
      <c r="A8" s="12">
        <v>2018</v>
      </c>
      <c r="B8" s="12">
        <v>4</v>
      </c>
      <c r="C8" s="196">
        <f>'Table 4a'!H8</f>
        <v>2.698152152098869</v>
      </c>
      <c r="D8" s="19">
        <v>0.077</v>
      </c>
      <c r="E8" s="19">
        <v>0</v>
      </c>
      <c r="F8" s="19">
        <v>0.015</v>
      </c>
      <c r="G8" s="19">
        <v>0</v>
      </c>
      <c r="H8" s="21">
        <f t="shared" si="0"/>
        <v>2.790152152098869</v>
      </c>
    </row>
    <row r="9" spans="1:8" ht="15">
      <c r="A9" s="12">
        <v>2019</v>
      </c>
      <c r="B9" s="12">
        <v>5</v>
      </c>
      <c r="C9" s="196">
        <f>'Table 4a'!H9</f>
        <v>2.9109689030956667</v>
      </c>
      <c r="D9" s="19">
        <v>0.079</v>
      </c>
      <c r="E9" s="19">
        <v>0</v>
      </c>
      <c r="F9" s="19">
        <v>0.015</v>
      </c>
      <c r="G9" s="19">
        <v>0</v>
      </c>
      <c r="H9" s="21">
        <f t="shared" si="0"/>
        <v>3.004968903095667</v>
      </c>
    </row>
    <row r="10" spans="1:8" ht="15">
      <c r="A10" s="12">
        <v>2020</v>
      </c>
      <c r="B10" s="12">
        <v>6</v>
      </c>
      <c r="C10" s="196">
        <f>'Table 4a'!H10</f>
        <v>3.0622353228815316</v>
      </c>
      <c r="D10" s="19">
        <v>0.082</v>
      </c>
      <c r="E10" s="19">
        <v>0</v>
      </c>
      <c r="F10" s="19">
        <v>0.015</v>
      </c>
      <c r="G10" s="19">
        <v>0</v>
      </c>
      <c r="H10" s="21">
        <f t="shared" si="0"/>
        <v>3.1592353228815315</v>
      </c>
    </row>
    <row r="11" spans="1:8" ht="15">
      <c r="A11" s="12">
        <v>2021</v>
      </c>
      <c r="B11" s="12">
        <v>7</v>
      </c>
      <c r="C11" s="196">
        <f>'Table 4a'!H11</f>
        <v>3.1464467942607732</v>
      </c>
      <c r="D11" s="19">
        <v>0.084</v>
      </c>
      <c r="E11" s="19">
        <v>0</v>
      </c>
      <c r="F11" s="19">
        <v>0.016</v>
      </c>
      <c r="G11" s="19">
        <v>0</v>
      </c>
      <c r="H11" s="21">
        <f t="shared" si="0"/>
        <v>3.2464467942607733</v>
      </c>
    </row>
    <row r="12" spans="1:8" ht="15">
      <c r="A12" s="12">
        <v>2022</v>
      </c>
      <c r="B12" s="12">
        <v>8</v>
      </c>
      <c r="C12" s="196">
        <f>'Table 4a'!H12</f>
        <v>3.3081595248495246</v>
      </c>
      <c r="D12" s="19">
        <v>0.086</v>
      </c>
      <c r="E12" s="19">
        <v>0</v>
      </c>
      <c r="F12" s="19">
        <v>0.016</v>
      </c>
      <c r="G12" s="19">
        <v>0</v>
      </c>
      <c r="H12" s="21">
        <f t="shared" si="0"/>
        <v>3.4101595248495244</v>
      </c>
    </row>
    <row r="13" spans="1:8" ht="15">
      <c r="A13" s="12">
        <v>2023</v>
      </c>
      <c r="B13" s="12">
        <v>9</v>
      </c>
      <c r="C13" s="196">
        <f>'Table 4a'!H13</f>
        <v>3.4763869552324973</v>
      </c>
      <c r="D13" s="19">
        <v>0.089</v>
      </c>
      <c r="E13" s="19">
        <v>0</v>
      </c>
      <c r="F13" s="19">
        <v>0.017</v>
      </c>
      <c r="G13" s="19">
        <v>0</v>
      </c>
      <c r="H13" s="21">
        <f t="shared" si="0"/>
        <v>3.582386955232497</v>
      </c>
    </row>
    <row r="14" spans="1:8" ht="15">
      <c r="A14" s="12">
        <v>2024</v>
      </c>
      <c r="B14" s="12">
        <v>10</v>
      </c>
      <c r="C14" s="196">
        <f>'Table 4a'!H14</f>
        <v>3.651365098645867</v>
      </c>
      <c r="D14" s="19">
        <v>0.091</v>
      </c>
      <c r="E14" s="19">
        <v>0</v>
      </c>
      <c r="F14" s="19">
        <v>0.017</v>
      </c>
      <c r="G14" s="19">
        <v>0</v>
      </c>
      <c r="H14" s="21">
        <f t="shared" si="0"/>
        <v>3.759365098645867</v>
      </c>
    </row>
    <row r="15" spans="1:8" ht="15">
      <c r="A15" s="12">
        <v>2025</v>
      </c>
      <c r="B15" s="12">
        <v>11</v>
      </c>
      <c r="C15" s="196">
        <f>'Table 4a'!H15</f>
        <v>3.833338022312077</v>
      </c>
      <c r="D15" s="19">
        <v>0.093</v>
      </c>
      <c r="E15" s="19">
        <v>0</v>
      </c>
      <c r="F15" s="19">
        <v>0.018</v>
      </c>
      <c r="G15" s="19">
        <v>0</v>
      </c>
      <c r="H15" s="21">
        <f t="shared" si="0"/>
        <v>3.9443380223120768</v>
      </c>
    </row>
    <row r="16" spans="1:8" ht="15">
      <c r="A16" s="12">
        <v>2026</v>
      </c>
      <c r="B16" s="12">
        <v>12</v>
      </c>
      <c r="C16" s="196">
        <f>'Table 4a'!H16</f>
        <v>4.022558111924077</v>
      </c>
      <c r="D16" s="19">
        <v>0.096</v>
      </c>
      <c r="E16" s="19">
        <v>0</v>
      </c>
      <c r="F16" s="19">
        <v>0.018</v>
      </c>
      <c r="G16" s="19">
        <v>0</v>
      </c>
      <c r="H16" s="21">
        <f t="shared" si="0"/>
        <v>4.136558111924077</v>
      </c>
    </row>
    <row r="17" spans="1:8" ht="15">
      <c r="A17" s="12">
        <v>2027</v>
      </c>
      <c r="B17" s="12">
        <v>13</v>
      </c>
      <c r="C17" s="196">
        <f>'Table 4a'!H17</f>
        <v>4.219286344585364</v>
      </c>
      <c r="D17" s="19">
        <v>0.099</v>
      </c>
      <c r="E17" s="19">
        <v>0</v>
      </c>
      <c r="F17" s="19">
        <v>0.019</v>
      </c>
      <c r="G17" s="19">
        <v>0</v>
      </c>
      <c r="H17" s="21">
        <f t="shared" si="0"/>
        <v>4.337286344585364</v>
      </c>
    </row>
    <row r="18" spans="1:8" ht="15">
      <c r="A18" s="12">
        <v>2028</v>
      </c>
      <c r="B18" s="12">
        <v>14</v>
      </c>
      <c r="C18" s="196">
        <f>'Table 4a'!H18</f>
        <v>4.423792570470878</v>
      </c>
      <c r="D18" s="19">
        <v>0.101</v>
      </c>
      <c r="E18" s="19">
        <v>0</v>
      </c>
      <c r="F18" s="19">
        <v>0.019</v>
      </c>
      <c r="G18" s="19">
        <v>0</v>
      </c>
      <c r="H18" s="21">
        <f t="shared" si="0"/>
        <v>4.543792570470878</v>
      </c>
    </row>
    <row r="19" spans="1:8" ht="15">
      <c r="A19" s="12">
        <v>2029</v>
      </c>
      <c r="B19" s="12">
        <v>15</v>
      </c>
      <c r="C19" s="196">
        <f>'Table 4a'!H19</f>
        <v>4.636355803482004</v>
      </c>
      <c r="D19" s="19">
        <v>0.104</v>
      </c>
      <c r="E19" s="19">
        <v>0</v>
      </c>
      <c r="F19" s="19">
        <v>0.02</v>
      </c>
      <c r="G19" s="19">
        <v>0</v>
      </c>
      <c r="H19" s="21">
        <f t="shared" si="0"/>
        <v>4.760355803482003</v>
      </c>
    </row>
    <row r="20" spans="1:8" ht="15">
      <c r="A20" s="12">
        <v>2030</v>
      </c>
      <c r="B20" s="12">
        <v>16</v>
      </c>
      <c r="C20" s="196">
        <f>'Table 4a'!H20</f>
        <v>4.857264521177322</v>
      </c>
      <c r="D20" s="19">
        <v>0.107</v>
      </c>
      <c r="E20" s="19">
        <v>0</v>
      </c>
      <c r="F20" s="19">
        <v>0.02</v>
      </c>
      <c r="G20" s="19">
        <v>0</v>
      </c>
      <c r="H20" s="21">
        <f t="shared" si="0"/>
        <v>4.984264521177322</v>
      </c>
    </row>
    <row r="21" spans="1:8" ht="15">
      <c r="A21" s="12">
        <v>2031</v>
      </c>
      <c r="B21" s="12">
        <v>17</v>
      </c>
      <c r="C21" s="196">
        <f>'Table 4a'!H21</f>
        <v>4.990839295509699</v>
      </c>
      <c r="D21" s="19">
        <v>0.11</v>
      </c>
      <c r="E21" s="19">
        <v>0</v>
      </c>
      <c r="F21" s="19">
        <v>0.021</v>
      </c>
      <c r="G21" s="19">
        <v>0</v>
      </c>
      <c r="H21" s="21">
        <f t="shared" si="0"/>
        <v>5.121839295509699</v>
      </c>
    </row>
    <row r="22" spans="1:8" ht="15">
      <c r="A22" s="12">
        <v>2032</v>
      </c>
      <c r="B22" s="12">
        <v>18</v>
      </c>
      <c r="C22" s="196">
        <f>'Table 4a'!H22</f>
        <v>5.226704441061913</v>
      </c>
      <c r="D22" s="19">
        <v>0.113</v>
      </c>
      <c r="E22" s="19">
        <v>0</v>
      </c>
      <c r="F22" s="19">
        <v>0.021</v>
      </c>
      <c r="G22" s="19">
        <v>0</v>
      </c>
      <c r="H22" s="21">
        <f t="shared" si="0"/>
        <v>5.360704441061913</v>
      </c>
    </row>
    <row r="23" spans="1:8" ht="15">
      <c r="A23" s="12">
        <v>2033</v>
      </c>
      <c r="B23" s="12">
        <v>19</v>
      </c>
      <c r="C23" s="196">
        <f>'Table 4a'!H23</f>
        <v>5.471767847402268</v>
      </c>
      <c r="D23" s="19">
        <v>0.116</v>
      </c>
      <c r="E23" s="19">
        <v>0</v>
      </c>
      <c r="F23" s="19">
        <v>0.022</v>
      </c>
      <c r="G23" s="19">
        <v>0</v>
      </c>
      <c r="H23" s="21">
        <f t="shared" si="0"/>
        <v>5.609767847402268</v>
      </c>
    </row>
    <row r="24" spans="1:8" ht="15">
      <c r="A24" s="12">
        <v>2034</v>
      </c>
      <c r="B24" s="12">
        <v>20</v>
      </c>
      <c r="C24" s="196">
        <f>'Table 4a'!H24</f>
        <v>5.7263570458577915</v>
      </c>
      <c r="D24" s="242">
        <v>0.119</v>
      </c>
      <c r="E24" s="19">
        <v>0</v>
      </c>
      <c r="F24" s="19">
        <v>0.023</v>
      </c>
      <c r="G24" s="19">
        <v>0</v>
      </c>
      <c r="H24" s="21">
        <f t="shared" si="0"/>
        <v>5.868357045857791</v>
      </c>
    </row>
    <row r="25" spans="1:8" ht="15">
      <c r="A25" s="12">
        <v>2035</v>
      </c>
      <c r="B25" s="12">
        <v>21</v>
      </c>
      <c r="C25" s="196">
        <f>'Table 4a'!H25</f>
        <v>5.990810625793768</v>
      </c>
      <c r="D25" s="19">
        <v>0.123</v>
      </c>
      <c r="E25" s="19">
        <v>0</v>
      </c>
      <c r="F25" s="19">
        <v>0.023</v>
      </c>
      <c r="G25" s="19">
        <v>0</v>
      </c>
      <c r="H25" s="21">
        <f t="shared" si="0"/>
        <v>6.136810625793768</v>
      </c>
    </row>
    <row r="26" spans="1:8" ht="15">
      <c r="A26" s="12">
        <v>2036</v>
      </c>
      <c r="B26" s="12">
        <v>22</v>
      </c>
      <c r="C26" s="196">
        <f>'Table 4a'!H26</f>
        <v>6.265478595110294</v>
      </c>
      <c r="D26" s="19">
        <v>0.126</v>
      </c>
      <c r="E26" s="19">
        <v>0</v>
      </c>
      <c r="F26" s="19">
        <v>0.024</v>
      </c>
      <c r="G26" s="19">
        <v>0</v>
      </c>
      <c r="H26" s="21">
        <f t="shared" si="0"/>
        <v>6.415478595110295</v>
      </c>
    </row>
    <row r="27" spans="1:8" ht="15">
      <c r="A27" s="12">
        <v>2037</v>
      </c>
      <c r="B27" s="12">
        <v>23</v>
      </c>
      <c r="C27" s="196">
        <f>'Table 4a'!H27</f>
        <v>6.550722752203474</v>
      </c>
      <c r="D27" s="19">
        <v>0.129</v>
      </c>
      <c r="E27" s="19">
        <v>0</v>
      </c>
      <c r="F27" s="19">
        <v>0.024</v>
      </c>
      <c r="G27" s="19">
        <v>0</v>
      </c>
      <c r="H27" s="21">
        <f t="shared" si="0"/>
        <v>6.703722752203475</v>
      </c>
    </row>
    <row r="28" spans="1:8" ht="15">
      <c r="A28" s="12">
        <v>2038</v>
      </c>
      <c r="B28" s="12">
        <v>24</v>
      </c>
      <c r="C28" s="196">
        <f>'Table 4a'!H28</f>
        <v>6.846917069749225</v>
      </c>
      <c r="D28" s="19">
        <v>0.133</v>
      </c>
      <c r="E28" s="19">
        <v>0</v>
      </c>
      <c r="F28" s="19">
        <v>0.025</v>
      </c>
      <c r="G28" s="19">
        <v>0</v>
      </c>
      <c r="H28" s="21">
        <f t="shared" si="0"/>
        <v>7.004917069749226</v>
      </c>
    </row>
    <row r="30" ht="15">
      <c r="A30" t="s">
        <v>70</v>
      </c>
    </row>
    <row r="34" ht="15">
      <c r="A34" s="116" t="s">
        <v>209</v>
      </c>
    </row>
    <row r="35" ht="15">
      <c r="A35" s="116" t="s">
        <v>210</v>
      </c>
    </row>
    <row r="36" ht="15">
      <c r="A36" s="116" t="s">
        <v>211</v>
      </c>
    </row>
    <row r="37" ht="15">
      <c r="A37" s="116" t="s">
        <v>212</v>
      </c>
    </row>
    <row r="39" ht="15">
      <c r="A39" s="116" t="s">
        <v>213</v>
      </c>
    </row>
    <row r="40" ht="15">
      <c r="A40" s="116" t="s">
        <v>214</v>
      </c>
    </row>
    <row r="41" ht="15">
      <c r="A41" s="116" t="s">
        <v>215</v>
      </c>
    </row>
    <row r="42" ht="15">
      <c r="A42" s="116" t="s">
        <v>216</v>
      </c>
    </row>
    <row r="43" ht="15">
      <c r="A43" t="s">
        <v>217</v>
      </c>
    </row>
    <row r="44" ht="15">
      <c r="A44" t="s">
        <v>218</v>
      </c>
    </row>
    <row r="45" ht="15">
      <c r="A45" t="s">
        <v>219</v>
      </c>
    </row>
    <row r="48" ht="15">
      <c r="A48" s="116" t="s">
        <v>220</v>
      </c>
    </row>
    <row r="49" ht="15">
      <c r="A49" s="116" t="s">
        <v>221</v>
      </c>
    </row>
    <row r="50" ht="15">
      <c r="A50" s="116" t="s">
        <v>222</v>
      </c>
    </row>
    <row r="52" ht="15">
      <c r="A52" s="116" t="s">
        <v>223</v>
      </c>
    </row>
    <row r="53" ht="15">
      <c r="A53" s="116" t="s">
        <v>224</v>
      </c>
    </row>
    <row r="54" ht="15">
      <c r="A54" t="s">
        <v>225</v>
      </c>
    </row>
    <row r="55" ht="15">
      <c r="A55" t="s">
        <v>226</v>
      </c>
    </row>
    <row r="56" ht="15">
      <c r="A56" t="s">
        <v>227</v>
      </c>
    </row>
    <row r="61" spans="1:3" ht="15">
      <c r="A61" s="26"/>
      <c r="C61">
        <v>1</v>
      </c>
    </row>
    <row r="62" ht="15">
      <c r="A62" s="26"/>
    </row>
    <row r="63" ht="15">
      <c r="A63" s="26"/>
    </row>
    <row r="66" ht="15">
      <c r="A66" s="26"/>
    </row>
    <row r="75" ht="15">
      <c r="A75" s="26"/>
    </row>
    <row r="76" ht="15">
      <c r="A76" s="26"/>
    </row>
    <row r="77" ht="15">
      <c r="A77" s="26"/>
    </row>
    <row r="78" ht="15">
      <c r="A78" s="26"/>
    </row>
    <row r="79" ht="15">
      <c r="A79" s="26"/>
    </row>
    <row r="80" ht="15">
      <c r="A80" s="26"/>
    </row>
    <row r="89" ht="15">
      <c r="I89" s="104"/>
    </row>
  </sheetData>
  <mergeCells count="2">
    <mergeCell ref="A1:I1"/>
    <mergeCell ref="A2:H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election activeCell="A33" sqref="A33"/>
    </sheetView>
  </sheetViews>
  <sheetFormatPr defaultColWidth="9.140625" defaultRowHeight="15"/>
  <cols>
    <col min="1" max="8" width="10.7109375" style="0" customWidth="1"/>
  </cols>
  <sheetData>
    <row r="1" spans="1:8" ht="18">
      <c r="A1" s="264" t="s">
        <v>686</v>
      </c>
      <c r="B1" s="264"/>
      <c r="C1" s="264"/>
      <c r="D1" s="264"/>
      <c r="E1" s="264"/>
      <c r="F1" s="264"/>
      <c r="G1" s="264"/>
      <c r="H1" s="264"/>
    </row>
    <row r="2" spans="1:8" ht="43.2">
      <c r="A2" s="195"/>
      <c r="B2" s="6"/>
      <c r="C2" s="216" t="s">
        <v>680</v>
      </c>
      <c r="D2" s="37" t="s">
        <v>661</v>
      </c>
      <c r="E2" s="37" t="s">
        <v>662</v>
      </c>
      <c r="F2" s="37" t="s">
        <v>643</v>
      </c>
      <c r="G2" s="37" t="s">
        <v>681</v>
      </c>
      <c r="H2" s="37" t="s">
        <v>682</v>
      </c>
    </row>
    <row r="3" spans="1:8" ht="57.6">
      <c r="A3" s="195"/>
      <c r="B3" s="6"/>
      <c r="C3" s="217" t="s">
        <v>677</v>
      </c>
      <c r="D3" s="218" t="s">
        <v>678</v>
      </c>
      <c r="E3" s="219" t="s">
        <v>679</v>
      </c>
      <c r="F3" s="218" t="s">
        <v>247</v>
      </c>
      <c r="G3" s="194"/>
      <c r="H3" s="219" t="s">
        <v>683</v>
      </c>
    </row>
    <row r="4" spans="1:8" ht="15">
      <c r="A4" s="195">
        <v>2014</v>
      </c>
      <c r="B4" s="195">
        <v>0</v>
      </c>
      <c r="C4" s="81">
        <v>36</v>
      </c>
      <c r="D4" s="81">
        <f>C4*1.14</f>
        <v>41.04</v>
      </c>
      <c r="E4" s="81">
        <f aca="true" t="shared" si="0" ref="E4:E28">D4/1.102</f>
        <v>37.241379310344826</v>
      </c>
      <c r="F4" s="197">
        <v>1</v>
      </c>
      <c r="G4" s="81">
        <f aca="true" t="shared" si="1" ref="G4:G28">E4*F4</f>
        <v>37.241379310344826</v>
      </c>
      <c r="H4" s="220">
        <f>(G4/2000)*'Table 16'!$B$8</f>
        <v>2.178620689655172</v>
      </c>
    </row>
    <row r="5" spans="1:8" ht="15">
      <c r="A5" s="195">
        <v>2015</v>
      </c>
      <c r="B5" s="195">
        <v>1</v>
      </c>
      <c r="C5" s="81">
        <v>37</v>
      </c>
      <c r="D5" s="81">
        <f aca="true" t="shared" si="2" ref="D5:D28">C5*1.14</f>
        <v>42.18</v>
      </c>
      <c r="E5" s="81">
        <f t="shared" si="0"/>
        <v>38.275862068965516</v>
      </c>
      <c r="F5" s="197">
        <f>F4+(F4*'Table 3'!$F$10)</f>
        <v>1.0275</v>
      </c>
      <c r="G5" s="81">
        <f t="shared" si="1"/>
        <v>39.32844827586207</v>
      </c>
      <c r="H5" s="220">
        <f>(G5/2000)*'Table 16'!$B$8</f>
        <v>2.300714224137931</v>
      </c>
    </row>
    <row r="6" spans="1:8" ht="15">
      <c r="A6" s="195">
        <v>2016</v>
      </c>
      <c r="B6" s="195">
        <v>2</v>
      </c>
      <c r="C6" s="81">
        <v>38</v>
      </c>
      <c r="D6" s="81">
        <f t="shared" si="2"/>
        <v>43.31999999999999</v>
      </c>
      <c r="E6" s="81">
        <f t="shared" si="0"/>
        <v>39.3103448275862</v>
      </c>
      <c r="F6" s="197">
        <f>F5+(F5*'Table 3'!$F$10)</f>
        <v>1.0557562500000002</v>
      </c>
      <c r="G6" s="81">
        <f t="shared" si="1"/>
        <v>41.50214224137931</v>
      </c>
      <c r="H6" s="220">
        <f>(G6/2000)*'Table 16'!$B$8</f>
        <v>2.42787532112069</v>
      </c>
    </row>
    <row r="7" spans="1:8" ht="15">
      <c r="A7" s="195">
        <v>2017</v>
      </c>
      <c r="B7" s="195">
        <v>3</v>
      </c>
      <c r="C7" s="81">
        <v>39</v>
      </c>
      <c r="D7" s="81">
        <f t="shared" si="2"/>
        <v>44.459999999999994</v>
      </c>
      <c r="E7" s="81">
        <f t="shared" si="0"/>
        <v>40.34482758620689</v>
      </c>
      <c r="F7" s="197">
        <f>F6+(F6*'Table 3'!$F$10)</f>
        <v>1.0847895468750002</v>
      </c>
      <c r="G7" s="81">
        <f t="shared" si="1"/>
        <v>43.76564723599138</v>
      </c>
      <c r="H7" s="220">
        <f>(G7/2000)*'Table 16'!$B$8</f>
        <v>2.560290363305496</v>
      </c>
    </row>
    <row r="8" spans="1:8" ht="15">
      <c r="A8" s="195">
        <v>2018</v>
      </c>
      <c r="B8" s="195">
        <v>4</v>
      </c>
      <c r="C8" s="81">
        <v>40</v>
      </c>
      <c r="D8" s="81">
        <f t="shared" si="2"/>
        <v>45.599999999999994</v>
      </c>
      <c r="E8" s="81">
        <f t="shared" si="0"/>
        <v>41.37931034482758</v>
      </c>
      <c r="F8" s="197">
        <f>F7+(F7*'Table 3'!$F$10)</f>
        <v>1.1146212594140628</v>
      </c>
      <c r="G8" s="81">
        <f t="shared" si="1"/>
        <v>46.12225901023707</v>
      </c>
      <c r="H8" s="220">
        <f>(G8/2000)*'Table 16'!$B$8</f>
        <v>2.698152152098869</v>
      </c>
    </row>
    <row r="9" spans="1:8" ht="15">
      <c r="A9" s="195">
        <v>2019</v>
      </c>
      <c r="B9" s="195">
        <v>5</v>
      </c>
      <c r="C9" s="81">
        <v>42</v>
      </c>
      <c r="D9" s="81">
        <f t="shared" si="2"/>
        <v>47.879999999999995</v>
      </c>
      <c r="E9" s="81">
        <f t="shared" si="0"/>
        <v>43.44827586206896</v>
      </c>
      <c r="F9" s="197">
        <f>F8+(F8*'Table 3'!$F$10)</f>
        <v>1.1452733440479494</v>
      </c>
      <c r="G9" s="81">
        <f t="shared" si="1"/>
        <v>49.76015218966952</v>
      </c>
      <c r="H9" s="220">
        <f>(G9/2000)*'Table 16'!$B$8</f>
        <v>2.9109689030956667</v>
      </c>
    </row>
    <row r="10" spans="1:8" ht="15">
      <c r="A10" s="195">
        <v>2020</v>
      </c>
      <c r="B10" s="195">
        <v>6</v>
      </c>
      <c r="C10" s="81">
        <v>43</v>
      </c>
      <c r="D10" s="81">
        <f t="shared" si="2"/>
        <v>49.019999999999996</v>
      </c>
      <c r="E10" s="81">
        <f t="shared" si="0"/>
        <v>44.48275862068965</v>
      </c>
      <c r="F10" s="197">
        <f>F9+(F9*'Table 3'!$F$10)</f>
        <v>1.176768361009268</v>
      </c>
      <c r="G10" s="81">
        <f t="shared" si="1"/>
        <v>52.34590295523985</v>
      </c>
      <c r="H10" s="220">
        <f>(G10/2000)*'Table 16'!$B$8</f>
        <v>3.0622353228815316</v>
      </c>
    </row>
    <row r="11" spans="1:8" ht="15">
      <c r="A11" s="195">
        <v>2021</v>
      </c>
      <c r="B11" s="195">
        <v>7</v>
      </c>
      <c r="C11" s="81">
        <v>43</v>
      </c>
      <c r="D11" s="81">
        <f t="shared" si="2"/>
        <v>49.019999999999996</v>
      </c>
      <c r="E11" s="81">
        <f t="shared" si="0"/>
        <v>44.48275862068965</v>
      </c>
      <c r="F11" s="197">
        <f>F10+(F10*'Table 3'!$F$10)</f>
        <v>1.209129490937023</v>
      </c>
      <c r="G11" s="81">
        <f t="shared" si="1"/>
        <v>53.78541528650894</v>
      </c>
      <c r="H11" s="220">
        <f>(G11/2000)*'Table 16'!$B$8</f>
        <v>3.1464467942607732</v>
      </c>
    </row>
    <row r="12" spans="1:8" ht="15">
      <c r="A12" s="195">
        <v>2022</v>
      </c>
      <c r="B12" s="195">
        <v>8</v>
      </c>
      <c r="C12" s="81">
        <v>44</v>
      </c>
      <c r="D12" s="81">
        <f t="shared" si="2"/>
        <v>50.16</v>
      </c>
      <c r="E12" s="81">
        <f t="shared" si="0"/>
        <v>45.517241379310335</v>
      </c>
      <c r="F12" s="197">
        <f>F11+(F11*'Table 3'!$F$10)</f>
        <v>1.242380551937791</v>
      </c>
      <c r="G12" s="81">
        <f t="shared" si="1"/>
        <v>56.54973546751324</v>
      </c>
      <c r="H12" s="220">
        <f>(G12/2000)*'Table 16'!$B$8</f>
        <v>3.3081595248495246</v>
      </c>
    </row>
    <row r="13" spans="1:8" ht="15">
      <c r="A13" s="195">
        <v>2023</v>
      </c>
      <c r="B13" s="195">
        <v>9</v>
      </c>
      <c r="C13" s="81">
        <v>45</v>
      </c>
      <c r="D13" s="81">
        <f t="shared" si="2"/>
        <v>51.3</v>
      </c>
      <c r="E13" s="81">
        <f t="shared" si="0"/>
        <v>46.551724137931025</v>
      </c>
      <c r="F13" s="197">
        <f>F12+(F12*'Table 3'!$F$10)</f>
        <v>1.2765460171160803</v>
      </c>
      <c r="G13" s="81">
        <f t="shared" si="1"/>
        <v>59.42541803816235</v>
      </c>
      <c r="H13" s="220">
        <f>(G13/2000)*'Table 16'!$B$8</f>
        <v>3.4763869552324973</v>
      </c>
    </row>
    <row r="14" spans="1:8" ht="15">
      <c r="A14" s="195">
        <v>2024</v>
      </c>
      <c r="B14" s="195">
        <v>10</v>
      </c>
      <c r="C14" s="81">
        <v>46</v>
      </c>
      <c r="D14" s="81">
        <f t="shared" si="2"/>
        <v>52.44</v>
      </c>
      <c r="E14" s="81">
        <f t="shared" si="0"/>
        <v>47.586206896551715</v>
      </c>
      <c r="F14" s="197">
        <f>F13+(F13*'Table 3'!$F$10)</f>
        <v>1.3116510325867725</v>
      </c>
      <c r="G14" s="81">
        <f t="shared" si="1"/>
        <v>62.416497412749855</v>
      </c>
      <c r="H14" s="220">
        <f>(G14/2000)*'Table 16'!$B$8</f>
        <v>3.651365098645867</v>
      </c>
    </row>
    <row r="15" spans="1:8" ht="15">
      <c r="A15" s="195">
        <v>2025</v>
      </c>
      <c r="B15" s="195">
        <v>11</v>
      </c>
      <c r="C15" s="81">
        <v>47</v>
      </c>
      <c r="D15" s="81">
        <f t="shared" si="2"/>
        <v>53.58</v>
      </c>
      <c r="E15" s="81">
        <f t="shared" si="0"/>
        <v>48.620689655172406</v>
      </c>
      <c r="F15" s="197">
        <f>F14+(F14*'Table 3'!$F$10)</f>
        <v>1.3477214359829088</v>
      </c>
      <c r="G15" s="81">
        <f t="shared" si="1"/>
        <v>65.52714568054832</v>
      </c>
      <c r="H15" s="220">
        <f>(G15/2000)*'Table 16'!$B$8</f>
        <v>3.833338022312077</v>
      </c>
    </row>
    <row r="16" spans="1:8" ht="15">
      <c r="A16" s="195">
        <v>2026</v>
      </c>
      <c r="B16" s="195">
        <v>12</v>
      </c>
      <c r="C16" s="81">
        <v>48</v>
      </c>
      <c r="D16" s="81">
        <f t="shared" si="2"/>
        <v>54.72</v>
      </c>
      <c r="E16" s="81">
        <f t="shared" si="0"/>
        <v>49.655172413793096</v>
      </c>
      <c r="F16" s="197">
        <f>F15+(F15*'Table 3'!$F$10)</f>
        <v>1.3847837754724388</v>
      </c>
      <c r="G16" s="81">
        <f t="shared" si="1"/>
        <v>68.7616771269073</v>
      </c>
      <c r="H16" s="220">
        <f>(G16/2000)*'Table 16'!$B$8</f>
        <v>4.022558111924077</v>
      </c>
    </row>
    <row r="17" spans="1:8" ht="15">
      <c r="A17" s="195">
        <v>2027</v>
      </c>
      <c r="B17" s="195">
        <v>13</v>
      </c>
      <c r="C17" s="81">
        <v>49</v>
      </c>
      <c r="D17" s="81">
        <f t="shared" si="2"/>
        <v>55.85999999999999</v>
      </c>
      <c r="E17" s="81">
        <f t="shared" si="0"/>
        <v>50.68965517241378</v>
      </c>
      <c r="F17" s="197">
        <f>F16+(F16*'Table 3'!$F$10)</f>
        <v>1.422865329297931</v>
      </c>
      <c r="G17" s="81">
        <f t="shared" si="1"/>
        <v>72.1245528988951</v>
      </c>
      <c r="H17" s="220">
        <f>(G17/2000)*'Table 16'!$B$8</f>
        <v>4.219286344585364</v>
      </c>
    </row>
    <row r="18" spans="1:8" ht="15">
      <c r="A18" s="195">
        <v>2028</v>
      </c>
      <c r="B18" s="195">
        <v>14</v>
      </c>
      <c r="C18" s="81">
        <v>50</v>
      </c>
      <c r="D18" s="81">
        <f t="shared" si="2"/>
        <v>56.99999999999999</v>
      </c>
      <c r="E18" s="81">
        <f t="shared" si="0"/>
        <v>51.72413793103447</v>
      </c>
      <c r="F18" s="197">
        <f>F17+(F17*'Table 3'!$F$10)</f>
        <v>1.461994125853624</v>
      </c>
      <c r="G18" s="81">
        <f t="shared" si="1"/>
        <v>75.62038582001502</v>
      </c>
      <c r="H18" s="220">
        <f>(G18/2000)*'Table 16'!$B$8</f>
        <v>4.423792570470878</v>
      </c>
    </row>
    <row r="19" spans="1:8" ht="15">
      <c r="A19" s="195">
        <v>2029</v>
      </c>
      <c r="B19" s="195">
        <v>15</v>
      </c>
      <c r="C19" s="81">
        <v>51</v>
      </c>
      <c r="D19" s="81">
        <f t="shared" si="2"/>
        <v>58.13999999999999</v>
      </c>
      <c r="E19" s="81">
        <f t="shared" si="0"/>
        <v>52.75862068965516</v>
      </c>
      <c r="F19" s="197">
        <f>F18+(F18*'Table 3'!$F$10)</f>
        <v>1.5021989643145985</v>
      </c>
      <c r="G19" s="81">
        <f t="shared" si="1"/>
        <v>79.25394535866673</v>
      </c>
      <c r="H19" s="220">
        <f>(G19/2000)*'Table 16'!$B$8</f>
        <v>4.636355803482004</v>
      </c>
    </row>
    <row r="20" spans="1:8" ht="15">
      <c r="A20" s="195">
        <v>2030</v>
      </c>
      <c r="B20" s="195">
        <v>16</v>
      </c>
      <c r="C20" s="81">
        <v>52</v>
      </c>
      <c r="D20" s="81">
        <f t="shared" si="2"/>
        <v>59.279999999999994</v>
      </c>
      <c r="E20" s="81">
        <f t="shared" si="0"/>
        <v>53.79310344827585</v>
      </c>
      <c r="F20" s="197">
        <f>F19+(F19*'Table 3'!$F$10)</f>
        <v>1.54350943583325</v>
      </c>
      <c r="G20" s="81">
        <f t="shared" si="1"/>
        <v>83.03016275516791</v>
      </c>
      <c r="H20" s="220">
        <f>(G20/2000)*'Table 16'!$B$8</f>
        <v>4.857264521177322</v>
      </c>
    </row>
    <row r="21" spans="1:8" ht="15">
      <c r="A21" s="195">
        <v>2031</v>
      </c>
      <c r="B21" s="195">
        <v>17</v>
      </c>
      <c r="C21" s="81">
        <v>52</v>
      </c>
      <c r="D21" s="81">
        <f t="shared" si="2"/>
        <v>59.279999999999994</v>
      </c>
      <c r="E21" s="81">
        <f t="shared" si="0"/>
        <v>53.79310344827585</v>
      </c>
      <c r="F21" s="197">
        <f>F20+(F20*'Table 3'!$F$10)</f>
        <v>1.5859559453186642</v>
      </c>
      <c r="G21" s="81">
        <f t="shared" si="1"/>
        <v>85.31349223093503</v>
      </c>
      <c r="H21" s="220">
        <f>(G21/2000)*'Table 16'!$B$8</f>
        <v>4.990839295509699</v>
      </c>
    </row>
    <row r="22" spans="1:8" ht="15">
      <c r="A22" s="195">
        <v>2032</v>
      </c>
      <c r="B22" s="195">
        <v>18</v>
      </c>
      <c r="C22" s="81">
        <v>53</v>
      </c>
      <c r="D22" s="81">
        <f t="shared" si="2"/>
        <v>60.419999999999995</v>
      </c>
      <c r="E22" s="81">
        <f t="shared" si="0"/>
        <v>54.82758620689654</v>
      </c>
      <c r="F22" s="197">
        <f>F21+(F21*'Table 3'!$F$10)</f>
        <v>1.6295697338149275</v>
      </c>
      <c r="G22" s="81">
        <f t="shared" si="1"/>
        <v>89.34537506088739</v>
      </c>
      <c r="H22" s="220">
        <f>(G22/2000)*'Table 16'!$B$8</f>
        <v>5.226704441061913</v>
      </c>
    </row>
    <row r="23" spans="1:8" ht="15">
      <c r="A23" s="195">
        <v>2033</v>
      </c>
      <c r="B23" s="195">
        <v>19</v>
      </c>
      <c r="C23" s="81">
        <v>54</v>
      </c>
      <c r="D23" s="81">
        <f t="shared" si="2"/>
        <v>61.559999999999995</v>
      </c>
      <c r="E23" s="81">
        <f t="shared" si="0"/>
        <v>55.86206896551723</v>
      </c>
      <c r="F23" s="197">
        <f>F22+(F22*'Table 3'!$F$10)</f>
        <v>1.6743829014948381</v>
      </c>
      <c r="G23" s="81">
        <f t="shared" si="1"/>
        <v>93.5344931179875</v>
      </c>
      <c r="H23" s="220">
        <f>(G23/2000)*'Table 16'!$B$8</f>
        <v>5.471767847402268</v>
      </c>
    </row>
    <row r="24" spans="1:8" ht="15">
      <c r="A24" s="195">
        <v>2034</v>
      </c>
      <c r="B24" s="195">
        <v>20</v>
      </c>
      <c r="C24" s="81">
        <v>55</v>
      </c>
      <c r="D24" s="81">
        <f t="shared" si="2"/>
        <v>62.699999999999996</v>
      </c>
      <c r="E24" s="81">
        <f t="shared" si="0"/>
        <v>56.89655172413792</v>
      </c>
      <c r="F24" s="197">
        <f>F23+(F23*'Table 3'!$F$10)</f>
        <v>1.7204284312859461</v>
      </c>
      <c r="G24" s="81">
        <f t="shared" si="1"/>
        <v>97.8864452283383</v>
      </c>
      <c r="H24" s="220">
        <f>(G24/2000)*'Table 16'!$B$8</f>
        <v>5.7263570458577915</v>
      </c>
    </row>
    <row r="25" spans="1:8" ht="15">
      <c r="A25" s="195">
        <v>2035</v>
      </c>
      <c r="B25" s="195">
        <v>21</v>
      </c>
      <c r="C25" s="81">
        <v>56</v>
      </c>
      <c r="D25" s="81">
        <f t="shared" si="2"/>
        <v>63.839999999999996</v>
      </c>
      <c r="E25" s="81">
        <f t="shared" si="0"/>
        <v>57.93103448275861</v>
      </c>
      <c r="F25" s="197">
        <f>F24+(F24*'Table 3'!$F$10)</f>
        <v>1.7677402131463096</v>
      </c>
      <c r="G25" s="81">
        <f t="shared" si="1"/>
        <v>102.40701924433792</v>
      </c>
      <c r="H25" s="220">
        <f>(G25/2000)*'Table 16'!$B$8</f>
        <v>5.990810625793768</v>
      </c>
    </row>
    <row r="26" spans="1:8" ht="15">
      <c r="A26" s="195">
        <v>2036</v>
      </c>
      <c r="B26" s="195">
        <v>22</v>
      </c>
      <c r="C26" s="81">
        <v>57</v>
      </c>
      <c r="D26" s="81">
        <f t="shared" si="2"/>
        <v>64.97999999999999</v>
      </c>
      <c r="E26" s="81">
        <f t="shared" si="0"/>
        <v>58.965517241379295</v>
      </c>
      <c r="F26" s="197">
        <f>F25+(F25*'Table 3'!$F$10)</f>
        <v>1.816353069007833</v>
      </c>
      <c r="G26" s="81">
        <f t="shared" si="1"/>
        <v>107.10219820701359</v>
      </c>
      <c r="H26" s="220">
        <f>(G26/2000)*'Table 16'!$B$8</f>
        <v>6.265478595110294</v>
      </c>
    </row>
    <row r="27" spans="1:8" ht="15">
      <c r="A27" s="195">
        <v>2037</v>
      </c>
      <c r="B27" s="195">
        <v>23</v>
      </c>
      <c r="C27" s="81">
        <v>58</v>
      </c>
      <c r="D27" s="81">
        <f t="shared" si="2"/>
        <v>66.11999999999999</v>
      </c>
      <c r="E27" s="81">
        <f t="shared" si="0"/>
        <v>59.999999999999986</v>
      </c>
      <c r="F27" s="197">
        <f>F26+(F26*'Table 3'!$F$10)</f>
        <v>1.8663027784055486</v>
      </c>
      <c r="G27" s="81">
        <f t="shared" si="1"/>
        <v>111.97816670433289</v>
      </c>
      <c r="H27" s="220">
        <f>(G27/2000)*'Table 16'!$B$8</f>
        <v>6.550722752203474</v>
      </c>
    </row>
    <row r="28" spans="1:8" ht="15">
      <c r="A28" s="195">
        <v>2038</v>
      </c>
      <c r="B28" s="195">
        <v>24</v>
      </c>
      <c r="C28" s="81">
        <v>59</v>
      </c>
      <c r="D28" s="81">
        <f t="shared" si="2"/>
        <v>67.25999999999999</v>
      </c>
      <c r="E28" s="81">
        <f t="shared" si="0"/>
        <v>61.034482758620676</v>
      </c>
      <c r="F28" s="197">
        <f>F27+(F27*'Table 3'!$F$10)</f>
        <v>1.9176261048117011</v>
      </c>
      <c r="G28" s="81">
        <f t="shared" si="1"/>
        <v>117.0413174316107</v>
      </c>
      <c r="H28" s="220">
        <f>(G28/2000)*'Table 16'!$B$8</f>
        <v>6.846917069749225</v>
      </c>
    </row>
    <row r="29" ht="15">
      <c r="B29" s="193"/>
    </row>
    <row r="30" spans="1:2" ht="15">
      <c r="A30" s="26" t="s">
        <v>195</v>
      </c>
      <c r="B30" t="s">
        <v>664</v>
      </c>
    </row>
    <row r="31" ht="15">
      <c r="A31" s="214" t="s">
        <v>663</v>
      </c>
    </row>
    <row r="32" ht="15">
      <c r="B32" s="193"/>
    </row>
    <row r="33" spans="1:2" ht="15">
      <c r="A33" s="117" t="s">
        <v>676</v>
      </c>
      <c r="B33" s="193"/>
    </row>
    <row r="34" spans="1:2" ht="31.2">
      <c r="A34" s="215" t="s">
        <v>665</v>
      </c>
      <c r="B34" s="193"/>
    </row>
    <row r="35" ht="15">
      <c r="B35" s="193"/>
    </row>
    <row r="36" spans="1:2" ht="15">
      <c r="A36" t="s">
        <v>666</v>
      </c>
      <c r="B36" s="193"/>
    </row>
    <row r="37" spans="1:2" ht="15">
      <c r="A37" t="s">
        <v>667</v>
      </c>
      <c r="B37" s="193"/>
    </row>
    <row r="38" spans="1:2" ht="15">
      <c r="A38" t="s">
        <v>684</v>
      </c>
      <c r="B38" s="193"/>
    </row>
    <row r="39" spans="1:2" ht="15">
      <c r="A39" t="s">
        <v>685</v>
      </c>
      <c r="B39" s="193"/>
    </row>
    <row r="40" ht="15">
      <c r="B40" s="193"/>
    </row>
    <row r="41" spans="1:2" ht="15">
      <c r="A41" t="s">
        <v>668</v>
      </c>
      <c r="B41" s="193"/>
    </row>
    <row r="42" ht="15">
      <c r="A42" t="s">
        <v>669</v>
      </c>
    </row>
    <row r="43" ht="15">
      <c r="A43" t="s">
        <v>670</v>
      </c>
    </row>
    <row r="45" ht="15">
      <c r="A45" t="s">
        <v>671</v>
      </c>
    </row>
    <row r="46" ht="15">
      <c r="A46" t="s">
        <v>672</v>
      </c>
    </row>
    <row r="47" ht="15">
      <c r="A47" t="s">
        <v>673</v>
      </c>
    </row>
    <row r="48" ht="15">
      <c r="A48" t="s">
        <v>674</v>
      </c>
    </row>
    <row r="49" ht="15">
      <c r="A49" t="s">
        <v>675</v>
      </c>
    </row>
  </sheetData>
  <mergeCells count="1">
    <mergeCell ref="A1:H1"/>
  </mergeCells>
  <hyperlinks>
    <hyperlink ref="A33" r:id="rId1" display="http://www.epa.gov/climatechange/EPAactivities/economics/scc.html"/>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3"/>
  <sheetViews>
    <sheetView workbookViewId="0" topLeftCell="A1">
      <selection activeCell="G244" sqref="G244"/>
    </sheetView>
  </sheetViews>
  <sheetFormatPr defaultColWidth="9.140625" defaultRowHeight="15"/>
  <cols>
    <col min="1" max="1" width="35.28125" style="0" customWidth="1"/>
    <col min="2" max="2" width="13.57421875" style="0" customWidth="1"/>
    <col min="3" max="3" width="14.28125" style="1" customWidth="1"/>
    <col min="4" max="4" width="3.7109375" style="1" customWidth="1"/>
    <col min="5" max="5" width="35.28125" style="0" customWidth="1"/>
    <col min="6" max="6" width="12.421875" style="1" customWidth="1"/>
    <col min="7" max="7" width="14.00390625" style="1" customWidth="1"/>
  </cols>
  <sheetData>
    <row r="1" spans="1:7" ht="15">
      <c r="A1" s="260" t="s">
        <v>281</v>
      </c>
      <c r="B1" s="260"/>
      <c r="C1" s="260"/>
      <c r="D1" s="260"/>
      <c r="E1" s="260"/>
      <c r="F1" s="260"/>
      <c r="G1" s="260"/>
    </row>
    <row r="2" spans="1:5" ht="15" thickBot="1">
      <c r="A2" s="93"/>
      <c r="D2" s="25"/>
      <c r="E2" s="93"/>
    </row>
    <row r="3" spans="1:7" ht="15">
      <c r="A3" s="174" t="s">
        <v>73</v>
      </c>
      <c r="B3" s="175" t="s">
        <v>71</v>
      </c>
      <c r="C3" s="176" t="s">
        <v>72</v>
      </c>
      <c r="D3" s="177"/>
      <c r="E3" s="175" t="s">
        <v>75</v>
      </c>
      <c r="F3" s="176" t="s">
        <v>71</v>
      </c>
      <c r="G3" s="178" t="s">
        <v>72</v>
      </c>
    </row>
    <row r="4" spans="1:7" ht="15">
      <c r="A4" s="179" t="s">
        <v>74</v>
      </c>
      <c r="B4" s="15">
        <v>2014</v>
      </c>
      <c r="C4" s="36"/>
      <c r="D4" s="26"/>
      <c r="E4" s="127" t="s">
        <v>76</v>
      </c>
      <c r="F4" s="141"/>
      <c r="G4" s="180"/>
    </row>
    <row r="5" spans="1:7" ht="15">
      <c r="A5" s="181" t="s">
        <v>77</v>
      </c>
      <c r="B5" s="14">
        <v>0.0651</v>
      </c>
      <c r="C5" s="36" t="s">
        <v>46</v>
      </c>
      <c r="D5" s="26"/>
      <c r="E5" s="139" t="s">
        <v>91</v>
      </c>
      <c r="F5" s="142">
        <v>640</v>
      </c>
      <c r="G5" s="182" t="s">
        <v>106</v>
      </c>
    </row>
    <row r="6" spans="1:7" ht="15">
      <c r="A6" s="183"/>
      <c r="B6" s="144"/>
      <c r="C6" s="26"/>
      <c r="D6" s="26"/>
      <c r="E6" s="132" t="s">
        <v>92</v>
      </c>
      <c r="F6" s="135">
        <v>9796</v>
      </c>
      <c r="G6" s="184" t="s">
        <v>107</v>
      </c>
    </row>
    <row r="7" spans="1:7" ht="15">
      <c r="A7" s="185" t="s">
        <v>83</v>
      </c>
      <c r="B7" s="145"/>
      <c r="C7" s="141"/>
      <c r="D7" s="26"/>
      <c r="E7" s="136"/>
      <c r="F7" s="137"/>
      <c r="G7" s="186"/>
    </row>
    <row r="8" spans="1:7" ht="15">
      <c r="A8" s="179" t="s">
        <v>78</v>
      </c>
      <c r="B8" s="237">
        <v>0.48559582668407</v>
      </c>
      <c r="C8" s="106" t="s">
        <v>87</v>
      </c>
      <c r="D8" s="26"/>
      <c r="E8" s="127" t="s">
        <v>93</v>
      </c>
      <c r="F8" s="140"/>
      <c r="G8" s="180"/>
    </row>
    <row r="9" spans="1:7" ht="15">
      <c r="A9" s="181" t="s">
        <v>79</v>
      </c>
      <c r="B9" s="238">
        <v>0.552220210632877</v>
      </c>
      <c r="C9" s="36" t="s">
        <v>87</v>
      </c>
      <c r="D9" s="26"/>
      <c r="E9" s="139" t="s">
        <v>91</v>
      </c>
      <c r="F9" s="142">
        <v>882</v>
      </c>
      <c r="G9" s="182" t="s">
        <v>106</v>
      </c>
    </row>
    <row r="10" spans="1:7" ht="15">
      <c r="A10" s="181" t="s">
        <v>80</v>
      </c>
      <c r="B10" s="238">
        <v>0.0979802039889668</v>
      </c>
      <c r="C10" s="36" t="s">
        <v>88</v>
      </c>
      <c r="D10" s="26"/>
      <c r="E10" s="132" t="s">
        <v>92</v>
      </c>
      <c r="F10" s="135">
        <v>6777</v>
      </c>
      <c r="G10" s="184" t="s">
        <v>107</v>
      </c>
    </row>
    <row r="11" spans="1:7" ht="15">
      <c r="A11" s="181" t="s">
        <v>81</v>
      </c>
      <c r="B11" s="249">
        <v>0.13182649151091286</v>
      </c>
      <c r="C11" s="36" t="s">
        <v>88</v>
      </c>
      <c r="D11" s="26"/>
      <c r="E11" s="136"/>
      <c r="F11" s="137"/>
      <c r="G11" s="186"/>
    </row>
    <row r="12" spans="1:7" ht="15">
      <c r="A12" s="181" t="s">
        <v>82</v>
      </c>
      <c r="B12" s="238">
        <v>0.107502434610224</v>
      </c>
      <c r="C12" s="36" t="s">
        <v>88</v>
      </c>
      <c r="D12" s="26"/>
      <c r="E12" s="127" t="s">
        <v>94</v>
      </c>
      <c r="F12" s="140"/>
      <c r="G12" s="180"/>
    </row>
    <row r="13" spans="1:7" ht="28.8">
      <c r="A13" s="183"/>
      <c r="B13" s="144"/>
      <c r="C13" s="26"/>
      <c r="D13" s="26"/>
      <c r="E13" s="133" t="s">
        <v>380</v>
      </c>
      <c r="F13" s="134">
        <v>6950.1640179988</v>
      </c>
      <c r="G13" s="182" t="s">
        <v>108</v>
      </c>
    </row>
    <row r="14" spans="1:7" ht="15">
      <c r="A14" s="185" t="s">
        <v>84</v>
      </c>
      <c r="B14" s="145"/>
      <c r="C14" s="141"/>
      <c r="D14" s="26"/>
      <c r="E14" s="27" t="s">
        <v>95</v>
      </c>
      <c r="F14" s="29">
        <v>-0.04</v>
      </c>
      <c r="G14" s="187" t="s">
        <v>109</v>
      </c>
    </row>
    <row r="15" spans="1:7" ht="15">
      <c r="A15" s="181" t="s">
        <v>85</v>
      </c>
      <c r="B15" s="24">
        <v>1451.69467371372</v>
      </c>
      <c r="C15" s="36" t="s">
        <v>89</v>
      </c>
      <c r="D15" s="26"/>
      <c r="E15" s="27" t="s">
        <v>96</v>
      </c>
      <c r="F15" s="28">
        <v>35</v>
      </c>
      <c r="G15" s="187" t="s">
        <v>47</v>
      </c>
    </row>
    <row r="16" spans="1:7" ht="15">
      <c r="A16" s="183"/>
      <c r="B16" s="144"/>
      <c r="C16" s="26"/>
      <c r="D16" s="26"/>
      <c r="E16" s="27" t="s">
        <v>97</v>
      </c>
      <c r="F16" s="30">
        <v>0.001</v>
      </c>
      <c r="G16" s="187" t="s">
        <v>46</v>
      </c>
    </row>
    <row r="17" spans="1:7" ht="15">
      <c r="A17" s="185" t="s">
        <v>86</v>
      </c>
      <c r="B17" s="145"/>
      <c r="C17" s="141"/>
      <c r="D17" s="26"/>
      <c r="E17" s="27" t="s">
        <v>98</v>
      </c>
      <c r="F17" s="29">
        <v>2.00448803827751</v>
      </c>
      <c r="G17" s="187" t="s">
        <v>372</v>
      </c>
    </row>
    <row r="18" spans="1:7" ht="15">
      <c r="A18" s="179" t="s">
        <v>282</v>
      </c>
      <c r="B18" s="239">
        <v>40.7160597996155</v>
      </c>
      <c r="C18" s="106" t="s">
        <v>90</v>
      </c>
      <c r="D18" s="26"/>
      <c r="E18" s="27" t="s">
        <v>99</v>
      </c>
      <c r="F18" s="188">
        <v>0.00135394</v>
      </c>
      <c r="G18" s="187" t="s">
        <v>520</v>
      </c>
    </row>
    <row r="19" spans="1:7" ht="15">
      <c r="A19" s="183"/>
      <c r="B19" s="169"/>
      <c r="C19" s="26"/>
      <c r="D19" s="26"/>
      <c r="E19" s="132" t="s">
        <v>519</v>
      </c>
      <c r="F19" s="30">
        <v>0.0166</v>
      </c>
      <c r="G19" s="184" t="s">
        <v>46</v>
      </c>
    </row>
    <row r="20" spans="1:7" ht="15">
      <c r="A20" s="183"/>
      <c r="B20" s="144"/>
      <c r="C20" s="26"/>
      <c r="D20" s="26"/>
      <c r="E20" s="132" t="s">
        <v>100</v>
      </c>
      <c r="F20" s="240">
        <v>0.073</v>
      </c>
      <c r="G20" s="184"/>
    </row>
    <row r="21" spans="1:7" ht="15">
      <c r="A21" s="183"/>
      <c r="B21" s="93"/>
      <c r="C21" s="26"/>
      <c r="D21" s="26"/>
      <c r="E21" s="136"/>
      <c r="F21" s="138"/>
      <c r="G21" s="186"/>
    </row>
    <row r="22" spans="1:7" ht="15">
      <c r="A22" s="183"/>
      <c r="B22" s="93"/>
      <c r="C22" s="26"/>
      <c r="D22" s="26"/>
      <c r="E22" s="143" t="s">
        <v>101</v>
      </c>
      <c r="F22" s="141"/>
      <c r="G22" s="180"/>
    </row>
    <row r="23" spans="1:7" ht="15">
      <c r="A23" s="183"/>
      <c r="B23" s="93"/>
      <c r="C23" s="26"/>
      <c r="D23" s="26"/>
      <c r="E23" s="139" t="s">
        <v>102</v>
      </c>
      <c r="F23" s="142">
        <f>'Table 14'!G19</f>
        <v>335.71967427250195</v>
      </c>
      <c r="G23" s="182" t="s">
        <v>373</v>
      </c>
    </row>
    <row r="24" spans="1:7" ht="15">
      <c r="A24" s="183"/>
      <c r="B24" s="93"/>
      <c r="C24" s="26"/>
      <c r="D24" s="26"/>
      <c r="E24" s="27" t="s">
        <v>103</v>
      </c>
      <c r="F24" s="241">
        <v>0.02</v>
      </c>
      <c r="G24" s="187" t="s">
        <v>46</v>
      </c>
    </row>
    <row r="25" spans="1:7" ht="15">
      <c r="A25" s="183"/>
      <c r="B25" s="93"/>
      <c r="C25" s="26"/>
      <c r="D25" s="26"/>
      <c r="E25" s="27" t="s">
        <v>104</v>
      </c>
      <c r="F25" s="28">
        <v>7284</v>
      </c>
      <c r="G25" s="187" t="s">
        <v>374</v>
      </c>
    </row>
    <row r="26" spans="1:7" ht="15">
      <c r="A26" s="183"/>
      <c r="B26" s="93"/>
      <c r="C26" s="26"/>
      <c r="D26" s="26"/>
      <c r="E26" s="27" t="s">
        <v>105</v>
      </c>
      <c r="F26" s="30">
        <f>'Table 14'!G18</f>
        <v>0.011411982836422974</v>
      </c>
      <c r="G26" s="187" t="s">
        <v>46</v>
      </c>
    </row>
    <row r="27" spans="1:7" ht="15" thickBot="1">
      <c r="A27" s="189"/>
      <c r="B27" s="190"/>
      <c r="C27" s="191"/>
      <c r="D27" s="191"/>
      <c r="E27" s="190"/>
      <c r="F27" s="191"/>
      <c r="G27" s="192"/>
    </row>
    <row r="28" ht="15">
      <c r="A28" t="s">
        <v>110</v>
      </c>
    </row>
    <row r="30" ht="15">
      <c r="A30" s="38" t="s">
        <v>361</v>
      </c>
    </row>
    <row r="31" ht="15">
      <c r="A31" s="111" t="s">
        <v>362</v>
      </c>
    </row>
    <row r="33" ht="15">
      <c r="A33" s="38" t="s">
        <v>318</v>
      </c>
    </row>
    <row r="35" ht="15">
      <c r="A35" t="s">
        <v>319</v>
      </c>
    </row>
    <row r="36" ht="15">
      <c r="A36" t="s">
        <v>320</v>
      </c>
    </row>
    <row r="38" ht="15">
      <c r="A38" t="s">
        <v>325</v>
      </c>
    </row>
    <row r="39" ht="15">
      <c r="A39" t="s">
        <v>326</v>
      </c>
    </row>
    <row r="41" ht="15">
      <c r="A41" t="s">
        <v>321</v>
      </c>
    </row>
    <row r="42" ht="15">
      <c r="A42" t="s">
        <v>322</v>
      </c>
    </row>
    <row r="43" ht="15">
      <c r="A43" t="s">
        <v>323</v>
      </c>
    </row>
    <row r="44" ht="15">
      <c r="A44" t="s">
        <v>324</v>
      </c>
    </row>
    <row r="45" spans="3:7" ht="15">
      <c r="C45" s="107"/>
      <c r="D45" s="107"/>
      <c r="F45" s="107"/>
      <c r="G45" s="107"/>
    </row>
    <row r="46" spans="1:7" ht="15">
      <c r="A46" t="s">
        <v>455</v>
      </c>
      <c r="C46" s="107"/>
      <c r="D46" s="107"/>
      <c r="F46" s="107"/>
      <c r="G46" s="107"/>
    </row>
    <row r="48" ht="15">
      <c r="A48" s="147" t="s">
        <v>426</v>
      </c>
    </row>
    <row r="50" ht="15">
      <c r="A50" t="s">
        <v>327</v>
      </c>
    </row>
    <row r="51" ht="15">
      <c r="A51" t="s">
        <v>328</v>
      </c>
    </row>
    <row r="52" ht="15">
      <c r="A52" t="s">
        <v>329</v>
      </c>
    </row>
    <row r="54" ht="15">
      <c r="A54" t="s">
        <v>338</v>
      </c>
    </row>
    <row r="55" ht="15">
      <c r="A55" t="s">
        <v>330</v>
      </c>
    </row>
    <row r="56" ht="15">
      <c r="A56" t="s">
        <v>331</v>
      </c>
    </row>
    <row r="57" ht="15">
      <c r="A57" t="s">
        <v>332</v>
      </c>
    </row>
    <row r="58" ht="15">
      <c r="A58" t="s">
        <v>333</v>
      </c>
    </row>
    <row r="60" ht="15">
      <c r="A60" t="s">
        <v>334</v>
      </c>
    </row>
    <row r="61" ht="15">
      <c r="A61" t="s">
        <v>335</v>
      </c>
    </row>
    <row r="62" ht="15">
      <c r="A62" t="s">
        <v>336</v>
      </c>
    </row>
    <row r="63" ht="15">
      <c r="A63" t="s">
        <v>337</v>
      </c>
    </row>
    <row r="64" spans="3:7" ht="15">
      <c r="C64" s="107"/>
      <c r="D64" s="107"/>
      <c r="F64" s="107"/>
      <c r="G64" s="107"/>
    </row>
    <row r="65" spans="1:7" ht="15">
      <c r="A65" s="147" t="s">
        <v>427</v>
      </c>
      <c r="C65" s="107"/>
      <c r="D65" s="107"/>
      <c r="F65" s="107"/>
      <c r="G65" s="107"/>
    </row>
    <row r="66" spans="3:7" ht="15">
      <c r="C66" s="107"/>
      <c r="D66" s="107"/>
      <c r="F66" s="107"/>
      <c r="G66" s="107"/>
    </row>
    <row r="67" spans="1:7" ht="15">
      <c r="A67" t="s">
        <v>428</v>
      </c>
      <c r="C67" s="107"/>
      <c r="D67" s="107"/>
      <c r="F67" s="107"/>
      <c r="G67" s="107"/>
    </row>
    <row r="68" spans="1:7" ht="15">
      <c r="A68" t="s">
        <v>429</v>
      </c>
      <c r="C68" s="107"/>
      <c r="D68" s="107"/>
      <c r="F68" s="107"/>
      <c r="G68" s="107"/>
    </row>
    <row r="69" spans="1:7" ht="15">
      <c r="A69" t="s">
        <v>430</v>
      </c>
      <c r="C69" s="107"/>
      <c r="D69" s="107"/>
      <c r="F69" s="107"/>
      <c r="G69" s="107"/>
    </row>
    <row r="70" spans="1:7" ht="15">
      <c r="A70" t="s">
        <v>431</v>
      </c>
      <c r="C70" s="107"/>
      <c r="D70" s="107"/>
      <c r="F70" s="107"/>
      <c r="G70" s="107"/>
    </row>
    <row r="71" spans="1:7" ht="15">
      <c r="A71" t="s">
        <v>432</v>
      </c>
      <c r="C71" s="107"/>
      <c r="D71" s="107"/>
      <c r="F71" s="107"/>
      <c r="G71" s="107"/>
    </row>
    <row r="72" spans="1:7" ht="15">
      <c r="A72" t="s">
        <v>433</v>
      </c>
      <c r="C72" s="107"/>
      <c r="D72" s="107"/>
      <c r="F72" s="107"/>
      <c r="G72" s="107"/>
    </row>
    <row r="73" spans="1:7" ht="15">
      <c r="A73" t="s">
        <v>434</v>
      </c>
      <c r="C73" s="107"/>
      <c r="D73" s="107"/>
      <c r="F73" s="107"/>
      <c r="G73" s="107"/>
    </row>
    <row r="74" spans="3:7" ht="15">
      <c r="C74" s="107"/>
      <c r="D74" s="107"/>
      <c r="F74" s="107"/>
      <c r="G74" s="107"/>
    </row>
    <row r="75" spans="1:7" ht="15">
      <c r="A75" t="s">
        <v>435</v>
      </c>
      <c r="C75" s="107"/>
      <c r="D75" s="107"/>
      <c r="F75" s="107"/>
      <c r="G75" s="107"/>
    </row>
    <row r="76" spans="1:7" ht="15">
      <c r="A76" t="s">
        <v>436</v>
      </c>
      <c r="C76" s="107"/>
      <c r="D76" s="107"/>
      <c r="F76" s="107"/>
      <c r="G76" s="107"/>
    </row>
    <row r="77" spans="1:7" ht="15">
      <c r="A77" t="s">
        <v>437</v>
      </c>
      <c r="C77" s="107"/>
      <c r="D77" s="107"/>
      <c r="F77" s="107"/>
      <c r="G77" s="107"/>
    </row>
    <row r="78" spans="1:7" ht="15">
      <c r="A78" t="s">
        <v>438</v>
      </c>
      <c r="C78" s="107"/>
      <c r="D78" s="107"/>
      <c r="F78" s="107"/>
      <c r="G78" s="107"/>
    </row>
    <row r="79" spans="1:7" ht="15">
      <c r="A79" t="s">
        <v>439</v>
      </c>
      <c r="C79" s="107"/>
      <c r="D79" s="107"/>
      <c r="F79" s="107"/>
      <c r="G79" s="107"/>
    </row>
    <row r="80" spans="3:7" ht="15">
      <c r="C80" s="107"/>
      <c r="D80" s="107"/>
      <c r="F80" s="107"/>
      <c r="G80" s="107"/>
    </row>
    <row r="81" spans="1:7" ht="15">
      <c r="A81" t="s">
        <v>440</v>
      </c>
      <c r="C81" s="107"/>
      <c r="D81" s="107"/>
      <c r="F81" s="107"/>
      <c r="G81" s="107"/>
    </row>
    <row r="82" spans="1:7" ht="15">
      <c r="A82" t="s">
        <v>441</v>
      </c>
      <c r="C82" s="107"/>
      <c r="D82" s="107"/>
      <c r="F82" s="107"/>
      <c r="G82" s="107"/>
    </row>
    <row r="83" spans="1:7" ht="15">
      <c r="A83" t="s">
        <v>442</v>
      </c>
      <c r="C83" s="107"/>
      <c r="D83" s="107"/>
      <c r="F83" s="107"/>
      <c r="G83" s="107"/>
    </row>
    <row r="84" spans="1:7" ht="15">
      <c r="A84" t="s">
        <v>443</v>
      </c>
      <c r="C84" s="107"/>
      <c r="D84" s="107"/>
      <c r="F84" s="107"/>
      <c r="G84" s="107"/>
    </row>
    <row r="86" ht="15">
      <c r="A86" s="38" t="s">
        <v>445</v>
      </c>
    </row>
    <row r="87" spans="1:7" ht="15">
      <c r="A87" s="38"/>
      <c r="C87" s="107"/>
      <c r="D87" s="107"/>
      <c r="F87" s="107"/>
      <c r="G87" s="107"/>
    </row>
    <row r="88" spans="1:7" ht="15">
      <c r="A88" s="111" t="s">
        <v>444</v>
      </c>
      <c r="C88" s="107"/>
      <c r="D88" s="107"/>
      <c r="F88" s="107"/>
      <c r="G88" s="107"/>
    </row>
    <row r="89" spans="1:7" ht="15">
      <c r="A89" s="38"/>
      <c r="C89" s="107"/>
      <c r="D89" s="107"/>
      <c r="F89" s="107"/>
      <c r="G89" s="107"/>
    </row>
    <row r="90" ht="15">
      <c r="A90" s="147" t="s">
        <v>340</v>
      </c>
    </row>
    <row r="91" ht="15">
      <c r="A91" t="s">
        <v>341</v>
      </c>
    </row>
    <row r="92" ht="15">
      <c r="A92" s="148" t="s">
        <v>446</v>
      </c>
    </row>
    <row r="93" spans="1:2" ht="15">
      <c r="A93" t="s">
        <v>343</v>
      </c>
      <c r="B93" t="s">
        <v>344</v>
      </c>
    </row>
    <row r="95" ht="15">
      <c r="A95" s="148" t="s">
        <v>449</v>
      </c>
    </row>
    <row r="96" spans="1:2" ht="15">
      <c r="A96" t="s">
        <v>342</v>
      </c>
      <c r="B96" t="s">
        <v>345</v>
      </c>
    </row>
    <row r="97" spans="1:5" ht="15">
      <c r="A97" s="22" t="s">
        <v>346</v>
      </c>
      <c r="B97" s="22"/>
      <c r="C97" s="130"/>
      <c r="D97" s="165"/>
      <c r="E97" s="22"/>
    </row>
    <row r="98" spans="1:5" ht="15">
      <c r="A98" s="22" t="s">
        <v>452</v>
      </c>
      <c r="B98" s="22"/>
      <c r="C98" s="130"/>
      <c r="D98" s="165"/>
      <c r="E98" s="22"/>
    </row>
    <row r="100" ht="15">
      <c r="A100" t="s">
        <v>347</v>
      </c>
    </row>
    <row r="101" ht="15">
      <c r="A101" s="148" t="s">
        <v>450</v>
      </c>
    </row>
    <row r="102" spans="1:2" ht="15">
      <c r="A102" t="s">
        <v>348</v>
      </c>
      <c r="B102" t="s">
        <v>349</v>
      </c>
    </row>
    <row r="103" spans="1:5" ht="15">
      <c r="A103" s="22" t="s">
        <v>350</v>
      </c>
      <c r="B103" s="22"/>
      <c r="C103" s="130"/>
      <c r="D103" s="165"/>
      <c r="E103" s="22"/>
    </row>
    <row r="104" spans="1:5" ht="15">
      <c r="A104" s="22" t="s">
        <v>453</v>
      </c>
      <c r="B104" s="22"/>
      <c r="C104" s="130"/>
      <c r="D104" s="165"/>
      <c r="E104" s="22"/>
    </row>
    <row r="106" ht="15">
      <c r="A106" t="s">
        <v>351</v>
      </c>
    </row>
    <row r="107" ht="15">
      <c r="A107" s="148" t="s">
        <v>451</v>
      </c>
    </row>
    <row r="108" spans="1:2" ht="15">
      <c r="A108" t="s">
        <v>352</v>
      </c>
      <c r="B108" t="s">
        <v>353</v>
      </c>
    </row>
    <row r="109" spans="1:5" ht="15">
      <c r="A109" s="22" t="s">
        <v>354</v>
      </c>
      <c r="B109" s="22"/>
      <c r="C109" s="130"/>
      <c r="D109" s="165"/>
      <c r="E109" s="22"/>
    </row>
    <row r="110" spans="1:5" ht="15">
      <c r="A110" s="22" t="s">
        <v>454</v>
      </c>
      <c r="B110" s="22"/>
      <c r="C110" s="130"/>
      <c r="D110" s="130"/>
      <c r="E110" s="22"/>
    </row>
    <row r="111" spans="1:7" ht="15">
      <c r="A111" s="22"/>
      <c r="B111" s="22"/>
      <c r="C111" s="130"/>
      <c r="D111" s="130"/>
      <c r="E111" s="22"/>
      <c r="F111" s="130"/>
      <c r="G111" s="107"/>
    </row>
    <row r="112" ht="15">
      <c r="A112" s="38" t="s">
        <v>456</v>
      </c>
    </row>
    <row r="113" ht="15">
      <c r="A113" t="s">
        <v>283</v>
      </c>
    </row>
    <row r="115" ht="15">
      <c r="A115" t="s">
        <v>290</v>
      </c>
    </row>
    <row r="116" ht="15">
      <c r="A116" t="s">
        <v>284</v>
      </c>
    </row>
    <row r="117" ht="15">
      <c r="A117" t="s">
        <v>291</v>
      </c>
    </row>
    <row r="118" ht="15">
      <c r="A118" t="s">
        <v>285</v>
      </c>
    </row>
    <row r="119" ht="15">
      <c r="A119" t="s">
        <v>292</v>
      </c>
    </row>
    <row r="120" ht="15">
      <c r="A120" t="s">
        <v>286</v>
      </c>
    </row>
    <row r="122" ht="15">
      <c r="A122" t="s">
        <v>287</v>
      </c>
    </row>
    <row r="123" ht="15">
      <c r="A123" t="s">
        <v>288</v>
      </c>
    </row>
    <row r="124" ht="15">
      <c r="A124" t="s">
        <v>289</v>
      </c>
    </row>
    <row r="126" ht="15">
      <c r="A126" t="s">
        <v>293</v>
      </c>
    </row>
    <row r="128" ht="15">
      <c r="A128" t="s">
        <v>294</v>
      </c>
    </row>
    <row r="130" ht="15">
      <c r="A130" t="s">
        <v>295</v>
      </c>
    </row>
    <row r="131" ht="15">
      <c r="A131" t="s">
        <v>296</v>
      </c>
    </row>
    <row r="132" ht="15">
      <c r="A132" t="s">
        <v>297</v>
      </c>
    </row>
    <row r="134" ht="15">
      <c r="A134" t="s">
        <v>298</v>
      </c>
    </row>
    <row r="135" ht="15">
      <c r="A135" t="s">
        <v>299</v>
      </c>
    </row>
    <row r="137" ht="15">
      <c r="A137" t="s">
        <v>300</v>
      </c>
    </row>
    <row r="139" ht="15">
      <c r="A139" t="s">
        <v>301</v>
      </c>
    </row>
    <row r="140" ht="15">
      <c r="A140" t="s">
        <v>302</v>
      </c>
    </row>
    <row r="141" ht="15">
      <c r="A141" t="s">
        <v>303</v>
      </c>
    </row>
    <row r="143" ht="15">
      <c r="A143" s="148" t="s">
        <v>458</v>
      </c>
    </row>
    <row r="144" spans="1:5" ht="15">
      <c r="A144" t="s">
        <v>457</v>
      </c>
      <c r="B144" t="s">
        <v>304</v>
      </c>
      <c r="E144" s="107"/>
    </row>
    <row r="145" spans="1:7" ht="15">
      <c r="A145" s="22"/>
      <c r="C145" s="107"/>
      <c r="D145" s="107"/>
      <c r="F145" s="107"/>
      <c r="G145" s="107"/>
    </row>
    <row r="146" spans="1:5" ht="15">
      <c r="A146" s="22" t="s">
        <v>339</v>
      </c>
      <c r="B146" s="22"/>
      <c r="C146" s="130"/>
      <c r="D146" s="165"/>
      <c r="E146" s="22"/>
    </row>
    <row r="147" spans="1:5" ht="15">
      <c r="A147" s="22" t="s">
        <v>355</v>
      </c>
      <c r="B147" s="22"/>
      <c r="C147" s="130"/>
      <c r="D147" s="165"/>
      <c r="E147" s="22"/>
    </row>
    <row r="149" spans="1:5" ht="15">
      <c r="A149" t="s">
        <v>315</v>
      </c>
      <c r="E149" s="116"/>
    </row>
    <row r="150" ht="15">
      <c r="A150" t="s">
        <v>316</v>
      </c>
    </row>
    <row r="151" ht="15">
      <c r="A151" t="s">
        <v>317</v>
      </c>
    </row>
    <row r="153" ht="15">
      <c r="A153" s="92" t="s">
        <v>459</v>
      </c>
    </row>
    <row r="155" ht="15">
      <c r="A155" t="s">
        <v>462</v>
      </c>
    </row>
    <row r="156" ht="15">
      <c r="A156" t="s">
        <v>460</v>
      </c>
    </row>
    <row r="157" ht="15">
      <c r="A157" t="s">
        <v>461</v>
      </c>
    </row>
    <row r="159" ht="15">
      <c r="A159" s="38" t="s">
        <v>479</v>
      </c>
    </row>
    <row r="161" spans="1:7" ht="15">
      <c r="A161" t="s">
        <v>463</v>
      </c>
      <c r="C161" s="107"/>
      <c r="D161" s="107"/>
      <c r="F161" s="107"/>
      <c r="G161" s="107"/>
    </row>
    <row r="162" spans="1:7" ht="15">
      <c r="A162" t="s">
        <v>464</v>
      </c>
      <c r="C162" s="107"/>
      <c r="D162" s="107"/>
      <c r="F162" s="107"/>
      <c r="G162" s="107"/>
    </row>
    <row r="164" spans="1:3" ht="15">
      <c r="A164" s="148"/>
      <c r="B164" s="167" t="s">
        <v>476</v>
      </c>
      <c r="C164" s="166"/>
    </row>
    <row r="165" spans="1:7" ht="15">
      <c r="A165" s="22" t="s">
        <v>474</v>
      </c>
      <c r="B165" s="22" t="s">
        <v>473</v>
      </c>
      <c r="C165" s="22"/>
      <c r="D165" s="22"/>
      <c r="E165" s="22"/>
      <c r="F165" s="22"/>
      <c r="G165" s="22"/>
    </row>
    <row r="166" spans="1:7" ht="15">
      <c r="A166" s="22"/>
      <c r="B166" s="22"/>
      <c r="C166" s="22"/>
      <c r="D166" s="22"/>
      <c r="E166" s="22"/>
      <c r="F166" s="22"/>
      <c r="G166" s="22"/>
    </row>
    <row r="167" spans="1:7" ht="15">
      <c r="A167" s="22"/>
      <c r="B167" s="22" t="s">
        <v>477</v>
      </c>
      <c r="C167" s="22"/>
      <c r="D167" s="22"/>
      <c r="E167" s="22"/>
      <c r="F167" s="22"/>
      <c r="G167" s="22"/>
    </row>
    <row r="168" spans="1:7" ht="15">
      <c r="A168" s="22"/>
      <c r="B168" s="22"/>
      <c r="C168" s="22"/>
      <c r="D168" s="22"/>
      <c r="E168" s="22"/>
      <c r="F168" s="22"/>
      <c r="G168" s="22"/>
    </row>
    <row r="169" spans="1:6" ht="15">
      <c r="A169" s="22"/>
      <c r="C169" s="22" t="s">
        <v>465</v>
      </c>
      <c r="D169" s="1" t="s">
        <v>229</v>
      </c>
      <c r="E169" s="123">
        <v>1200</v>
      </c>
      <c r="F169"/>
    </row>
    <row r="170" spans="1:6" ht="15">
      <c r="A170" s="22"/>
      <c r="C170" t="s">
        <v>466</v>
      </c>
      <c r="D170" s="1" t="s">
        <v>229</v>
      </c>
      <c r="E170" s="123">
        <v>8000</v>
      </c>
      <c r="F170"/>
    </row>
    <row r="171" spans="1:6" ht="15">
      <c r="A171" s="22"/>
      <c r="C171" s="22" t="s">
        <v>467</v>
      </c>
      <c r="D171" s="1" t="s">
        <v>229</v>
      </c>
      <c r="E171" s="123">
        <v>6500</v>
      </c>
      <c r="F171"/>
    </row>
    <row r="172" spans="3:6" ht="15">
      <c r="C172" s="22" t="s">
        <v>468</v>
      </c>
      <c r="D172" s="1" t="s">
        <v>229</v>
      </c>
      <c r="E172" s="123">
        <v>900</v>
      </c>
      <c r="F172"/>
    </row>
    <row r="173" spans="3:6" ht="15">
      <c r="C173" s="22" t="s">
        <v>469</v>
      </c>
      <c r="D173" s="1" t="s">
        <v>229</v>
      </c>
      <c r="E173" s="123">
        <v>9500</v>
      </c>
      <c r="F173"/>
    </row>
    <row r="174" spans="3:7" ht="15">
      <c r="C174" s="22"/>
      <c r="D174" s="107"/>
      <c r="E174" s="123"/>
      <c r="F174"/>
      <c r="G174" s="107"/>
    </row>
    <row r="175" spans="1:7" ht="15">
      <c r="A175" t="s">
        <v>478</v>
      </c>
      <c r="C175" s="22"/>
      <c r="D175" s="107"/>
      <c r="E175" s="123"/>
      <c r="F175"/>
      <c r="G175" s="107"/>
    </row>
    <row r="176" spans="3:7" ht="15">
      <c r="C176" s="22"/>
      <c r="D176" s="107"/>
      <c r="E176" s="123"/>
      <c r="F176"/>
      <c r="G176" s="107"/>
    </row>
    <row r="177" ht="15">
      <c r="A177" s="168" t="s">
        <v>480</v>
      </c>
    </row>
    <row r="179" ht="15">
      <c r="A179" t="s">
        <v>400</v>
      </c>
    </row>
    <row r="180" ht="15">
      <c r="A180" t="s">
        <v>401</v>
      </c>
    </row>
    <row r="181" ht="15">
      <c r="A181" t="s">
        <v>402</v>
      </c>
    </row>
    <row r="182" ht="15">
      <c r="A182" t="s">
        <v>403</v>
      </c>
    </row>
    <row r="183" ht="15">
      <c r="A183" t="s">
        <v>404</v>
      </c>
    </row>
    <row r="185" ht="15">
      <c r="A185" t="s">
        <v>405</v>
      </c>
    </row>
    <row r="186" spans="3:7" ht="15">
      <c r="C186" s="107"/>
      <c r="D186" s="107"/>
      <c r="F186" s="107"/>
      <c r="G186" s="107"/>
    </row>
    <row r="187" spans="2:3" ht="15">
      <c r="B187" s="148" t="s">
        <v>475</v>
      </c>
      <c r="C187" s="166"/>
    </row>
    <row r="188" spans="2:4" ht="15">
      <c r="B188" t="s">
        <v>409</v>
      </c>
      <c r="D188" s="123" t="s">
        <v>410</v>
      </c>
    </row>
    <row r="189" spans="3:7" ht="15">
      <c r="C189" s="107"/>
      <c r="D189" s="123"/>
      <c r="F189" s="107"/>
      <c r="G189" s="107"/>
    </row>
    <row r="190" spans="1:4" ht="15">
      <c r="A190" t="s">
        <v>485</v>
      </c>
      <c r="B190" s="1"/>
      <c r="D190"/>
    </row>
    <row r="192" ht="15">
      <c r="A192" t="s">
        <v>406</v>
      </c>
    </row>
    <row r="193" ht="15">
      <c r="A193" t="s">
        <v>407</v>
      </c>
    </row>
    <row r="195" spans="1:7" ht="15">
      <c r="A195" s="38" t="s">
        <v>96</v>
      </c>
      <c r="C195" s="107"/>
      <c r="D195" s="107"/>
      <c r="F195" s="107"/>
      <c r="G195" s="107"/>
    </row>
    <row r="196" spans="3:7" ht="15">
      <c r="C196" s="107"/>
      <c r="D196" s="107"/>
      <c r="F196" s="107"/>
      <c r="G196" s="107"/>
    </row>
    <row r="197" spans="1:8" ht="15">
      <c r="A197" s="253"/>
      <c r="B197" s="22"/>
      <c r="C197" s="130"/>
      <c r="D197" s="130"/>
      <c r="E197" s="22"/>
      <c r="F197" s="130"/>
      <c r="G197" s="130"/>
      <c r="H197" s="22"/>
    </row>
    <row r="198" spans="3:7" ht="15">
      <c r="C198" s="107"/>
      <c r="D198" s="107"/>
      <c r="F198" s="107"/>
      <c r="G198" s="107"/>
    </row>
    <row r="199" spans="1:7" ht="15">
      <c r="A199" s="38" t="s">
        <v>481</v>
      </c>
      <c r="C199" s="107"/>
      <c r="D199" s="107"/>
      <c r="F199" s="107"/>
      <c r="G199" s="107"/>
    </row>
    <row r="200" spans="3:7" ht="15">
      <c r="C200" s="107"/>
      <c r="D200" s="107"/>
      <c r="F200" s="107"/>
      <c r="G200" s="107"/>
    </row>
    <row r="201" spans="1:7" ht="15">
      <c r="A201" t="s">
        <v>482</v>
      </c>
      <c r="C201" s="107"/>
      <c r="D201" s="107"/>
      <c r="F201" s="107"/>
      <c r="G201" s="107"/>
    </row>
    <row r="202" spans="1:7" ht="15">
      <c r="A202" t="s">
        <v>404</v>
      </c>
      <c r="C202" s="107"/>
      <c r="D202" s="107"/>
      <c r="F202" s="107"/>
      <c r="G202" s="107"/>
    </row>
    <row r="203" spans="3:7" ht="15">
      <c r="C203" s="107"/>
      <c r="D203" s="107"/>
      <c r="F203" s="107"/>
      <c r="G203" s="107"/>
    </row>
    <row r="204" spans="1:7" ht="15">
      <c r="A204" t="s">
        <v>483</v>
      </c>
      <c r="C204" s="107"/>
      <c r="D204" s="107"/>
      <c r="F204" s="107"/>
      <c r="G204" s="107"/>
    </row>
    <row r="206" spans="1:7" ht="15">
      <c r="A206" s="38" t="s">
        <v>487</v>
      </c>
      <c r="C206" s="107"/>
      <c r="D206" s="107"/>
      <c r="F206" s="107"/>
      <c r="G206" s="107"/>
    </row>
    <row r="207" spans="1:7" ht="15">
      <c r="A207" s="38"/>
      <c r="C207" s="107"/>
      <c r="D207" s="107"/>
      <c r="F207" s="107"/>
      <c r="G207" s="107"/>
    </row>
    <row r="208" spans="1:7" ht="15">
      <c r="A208" t="s">
        <v>408</v>
      </c>
      <c r="D208" s="107"/>
      <c r="F208" s="107"/>
      <c r="G208" s="107"/>
    </row>
    <row r="209" spans="1:7" ht="15">
      <c r="A209" s="38"/>
      <c r="C209" s="107"/>
      <c r="D209" s="107"/>
      <c r="F209" s="107"/>
      <c r="G209" s="107"/>
    </row>
    <row r="210" spans="2:7" ht="15">
      <c r="B210" s="148" t="s">
        <v>486</v>
      </c>
      <c r="C210" s="166"/>
      <c r="D210" s="107"/>
      <c r="F210" s="107"/>
      <c r="G210" s="107"/>
    </row>
    <row r="211" spans="2:4" ht="15">
      <c r="B211" t="s">
        <v>411</v>
      </c>
      <c r="D211" s="123" t="s">
        <v>484</v>
      </c>
    </row>
    <row r="213" ht="15">
      <c r="A213" s="38" t="s">
        <v>521</v>
      </c>
    </row>
    <row r="215" ht="15">
      <c r="A215" t="s">
        <v>501</v>
      </c>
    </row>
    <row r="217" ht="15">
      <c r="A217" s="111" t="s">
        <v>522</v>
      </c>
    </row>
    <row r="219" ht="15">
      <c r="A219" s="38" t="s">
        <v>100</v>
      </c>
    </row>
    <row r="221" spans="1:7" ht="15">
      <c r="A221" t="s">
        <v>608</v>
      </c>
      <c r="C221" s="107"/>
      <c r="D221" s="107"/>
      <c r="F221" s="107"/>
      <c r="G221" s="107"/>
    </row>
    <row r="222" spans="1:7" ht="15">
      <c r="A222" t="s">
        <v>609</v>
      </c>
      <c r="C222" s="107"/>
      <c r="D222" s="107"/>
      <c r="F222" s="107"/>
      <c r="G222" s="107"/>
    </row>
    <row r="223" spans="1:7" ht="15">
      <c r="A223" t="s">
        <v>613</v>
      </c>
      <c r="C223" s="107"/>
      <c r="D223" s="107"/>
      <c r="F223" s="107"/>
      <c r="G223" s="107"/>
    </row>
    <row r="224" spans="1:7" ht="15">
      <c r="A224" t="s">
        <v>611</v>
      </c>
      <c r="C224" s="107"/>
      <c r="D224" s="107"/>
      <c r="F224" s="107"/>
      <c r="G224" s="107"/>
    </row>
    <row r="225" spans="1:7" ht="15">
      <c r="A225" t="s">
        <v>612</v>
      </c>
      <c r="C225" s="107"/>
      <c r="D225" s="107"/>
      <c r="F225" s="107"/>
      <c r="G225" s="107"/>
    </row>
    <row r="226" spans="3:7" ht="15">
      <c r="C226" s="107"/>
      <c r="D226" s="107"/>
      <c r="F226" s="107"/>
      <c r="G226" s="107"/>
    </row>
    <row r="227" ht="15">
      <c r="A227" s="38" t="s">
        <v>566</v>
      </c>
    </row>
    <row r="229" ht="15">
      <c r="A229" t="s">
        <v>557</v>
      </c>
    </row>
    <row r="230" ht="15">
      <c r="A230" t="s">
        <v>558</v>
      </c>
    </row>
    <row r="232" spans="2:3" ht="15">
      <c r="B232" s="167" t="s">
        <v>559</v>
      </c>
      <c r="C232" s="166"/>
    </row>
    <row r="233" spans="2:7" ht="15">
      <c r="B233" s="103" t="s">
        <v>560</v>
      </c>
      <c r="C233" s="123" t="s">
        <v>561</v>
      </c>
      <c r="D233" s="107"/>
      <c r="F233" s="107"/>
      <c r="G233" s="107"/>
    </row>
    <row r="234" spans="2:7" ht="15">
      <c r="B234" s="103"/>
      <c r="C234" s="123"/>
      <c r="D234" s="107"/>
      <c r="F234" s="107"/>
      <c r="G234" s="107"/>
    </row>
    <row r="235" spans="1:7" ht="15">
      <c r="A235" t="s">
        <v>562</v>
      </c>
      <c r="B235" s="103"/>
      <c r="C235" s="123"/>
      <c r="D235" s="107"/>
      <c r="F235" s="107"/>
      <c r="G235" s="107"/>
    </row>
    <row r="236" spans="1:7" ht="15">
      <c r="A236" t="s">
        <v>563</v>
      </c>
      <c r="B236" s="103"/>
      <c r="C236" s="123"/>
      <c r="D236" s="107"/>
      <c r="F236" s="107"/>
      <c r="G236" s="107"/>
    </row>
    <row r="237" spans="1:7" ht="15">
      <c r="A237" t="s">
        <v>564</v>
      </c>
      <c r="B237" s="103"/>
      <c r="C237" s="123"/>
      <c r="D237" s="107"/>
      <c r="F237" s="107"/>
      <c r="G237" s="107"/>
    </row>
    <row r="239" spans="1:7" ht="15">
      <c r="A239" s="254" t="s">
        <v>553</v>
      </c>
      <c r="B239" s="255"/>
      <c r="C239" s="255"/>
      <c r="D239" s="255"/>
      <c r="E239" s="255"/>
      <c r="F239" s="255"/>
      <c r="G239" s="255"/>
    </row>
    <row r="240" spans="1:7" ht="15">
      <c r="A240" s="254" t="s">
        <v>554</v>
      </c>
      <c r="B240" s="255"/>
      <c r="C240" s="255"/>
      <c r="D240" s="255"/>
      <c r="E240" s="255"/>
      <c r="F240" s="255"/>
      <c r="G240" s="255"/>
    </row>
    <row r="241" spans="1:7" ht="15">
      <c r="A241" s="255" t="s">
        <v>550</v>
      </c>
      <c r="B241" s="255"/>
      <c r="C241" s="255"/>
      <c r="D241" s="255"/>
      <c r="E241" s="255"/>
      <c r="F241" s="255"/>
      <c r="G241" s="255"/>
    </row>
    <row r="242" spans="1:7" ht="15">
      <c r="A242" s="255"/>
      <c r="B242" s="255"/>
      <c r="C242" s="255"/>
      <c r="D242" s="255"/>
      <c r="E242" s="255"/>
      <c r="F242" s="255"/>
      <c r="G242" s="255"/>
    </row>
    <row r="243" spans="1:7" ht="15">
      <c r="A243" s="254" t="s">
        <v>552</v>
      </c>
      <c r="B243" s="255"/>
      <c r="C243" s="255"/>
      <c r="D243" s="255"/>
      <c r="E243" s="255"/>
      <c r="F243" s="255"/>
      <c r="G243" s="255"/>
    </row>
  </sheetData>
  <mergeCells count="1">
    <mergeCell ref="A1:G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Bahn</dc:creator>
  <cp:keywords/>
  <dc:description/>
  <cp:lastModifiedBy>Andrew Bahn</cp:lastModifiedBy>
  <dcterms:created xsi:type="dcterms:W3CDTF">2014-02-28T16:00:58Z</dcterms:created>
  <dcterms:modified xsi:type="dcterms:W3CDTF">2014-07-25T14:32:21Z</dcterms:modified>
  <cp:category/>
  <cp:version/>
  <cp:contentType/>
  <cp:contentStatus/>
</cp:coreProperties>
</file>